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autoCompressPictures="0"/>
  <bookViews>
    <workbookView xWindow="0" yWindow="0" windowWidth="26880" windowHeight="15700" tabRatio="500"/>
  </bookViews>
  <sheets>
    <sheet name="Budget14-15" sheetId="3" r:id="rId1"/>
    <sheet name="ICC" sheetId="4" r:id="rId2"/>
    <sheet name="ASUCM" sheetId="5"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44" i="3" l="1"/>
  <c r="G47" i="3"/>
  <c r="G46" i="3"/>
  <c r="G41" i="3"/>
  <c r="G15" i="3"/>
  <c r="G48" i="3"/>
  <c r="G149" i="3"/>
  <c r="G30" i="5"/>
  <c r="G26" i="3"/>
  <c r="G28" i="5"/>
  <c r="G133" i="3"/>
  <c r="G72" i="3"/>
  <c r="G52" i="3"/>
  <c r="G111" i="3"/>
  <c r="G70" i="3"/>
  <c r="G17" i="5"/>
  <c r="G80" i="3"/>
  <c r="G41" i="4"/>
  <c r="G100" i="3"/>
  <c r="G49" i="3"/>
  <c r="G52" i="4"/>
  <c r="G59" i="3"/>
  <c r="G58" i="3"/>
  <c r="G55" i="3"/>
  <c r="G81" i="3"/>
  <c r="G50" i="4"/>
  <c r="G45" i="3"/>
  <c r="I61" i="4"/>
  <c r="I60" i="4"/>
  <c r="I59" i="4"/>
  <c r="I58" i="4"/>
  <c r="I57" i="4"/>
  <c r="I56" i="4"/>
  <c r="G125" i="3"/>
  <c r="G14" i="4"/>
  <c r="G139" i="3"/>
  <c r="G134" i="3"/>
  <c r="G27" i="5"/>
  <c r="G77" i="3"/>
  <c r="G101" i="3"/>
  <c r="G91" i="3"/>
  <c r="G138" i="3"/>
  <c r="G18" i="5"/>
  <c r="G43" i="4"/>
  <c r="F6" i="5"/>
  <c r="G140" i="3"/>
  <c r="G112" i="3"/>
  <c r="G127" i="3"/>
  <c r="G30" i="4"/>
  <c r="G114" i="3"/>
  <c r="D149" i="3"/>
  <c r="H72" i="3"/>
  <c r="G119" i="3"/>
  <c r="G17" i="3"/>
  <c r="G16" i="3"/>
  <c r="G141" i="3"/>
  <c r="G39" i="4"/>
  <c r="G102" i="3"/>
  <c r="G115" i="3"/>
  <c r="G137" i="3"/>
  <c r="G42" i="4"/>
  <c r="G126" i="3"/>
  <c r="G20" i="5"/>
  <c r="G123" i="3"/>
  <c r="G20" i="3"/>
  <c r="G15" i="4"/>
  <c r="G122" i="3"/>
  <c r="G135" i="3"/>
  <c r="I43" i="4"/>
  <c r="G31" i="4"/>
  <c r="G32" i="4"/>
  <c r="G23" i="5"/>
  <c r="G15" i="5"/>
  <c r="G106" i="3"/>
  <c r="H16" i="5"/>
  <c r="G10" i="5"/>
  <c r="G142" i="3"/>
  <c r="G76" i="3"/>
  <c r="G132" i="3"/>
  <c r="G9" i="5"/>
  <c r="G14" i="5"/>
  <c r="G98" i="3"/>
  <c r="G120" i="3"/>
  <c r="G54" i="3"/>
  <c r="G107" i="3"/>
  <c r="G36" i="4"/>
  <c r="G24" i="4"/>
  <c r="G25" i="4"/>
  <c r="G38" i="4"/>
  <c r="G25" i="5"/>
  <c r="G37" i="3"/>
  <c r="G97" i="3"/>
  <c r="G5" i="5"/>
  <c r="H19" i="5"/>
  <c r="G113" i="3"/>
  <c r="G61" i="3"/>
  <c r="G40" i="4"/>
  <c r="G37" i="4"/>
  <c r="G40" i="3"/>
  <c r="G21" i="3"/>
  <c r="G12" i="5"/>
  <c r="G65" i="3"/>
  <c r="G13" i="3"/>
  <c r="G29" i="4"/>
  <c r="G63" i="3"/>
  <c r="G42" i="3"/>
  <c r="G92" i="3"/>
  <c r="G17" i="4"/>
  <c r="G27" i="4"/>
  <c r="G28" i="4"/>
  <c r="G43" i="3"/>
  <c r="I35" i="4"/>
  <c r="G62" i="3"/>
  <c r="G93" i="3"/>
  <c r="G11" i="5"/>
  <c r="G13" i="5"/>
  <c r="G13" i="4"/>
  <c r="G130" i="3"/>
  <c r="G6" i="4"/>
  <c r="G19" i="4"/>
  <c r="G5" i="4"/>
  <c r="D140" i="3"/>
  <c r="D116" i="3"/>
  <c r="G16" i="4"/>
  <c r="G124" i="3"/>
  <c r="G4" i="5"/>
  <c r="I27" i="4"/>
  <c r="I9" i="4"/>
  <c r="G108" i="3"/>
  <c r="G10" i="4"/>
  <c r="G11" i="4"/>
  <c r="G68" i="3"/>
  <c r="I48" i="4"/>
  <c r="I49" i="4"/>
  <c r="I50" i="4"/>
  <c r="I51" i="4"/>
  <c r="I52" i="4"/>
  <c r="I53" i="4"/>
  <c r="I54" i="4"/>
  <c r="I55" i="4"/>
  <c r="I66" i="4"/>
  <c r="I68" i="4"/>
  <c r="I69" i="4"/>
  <c r="I70" i="4"/>
  <c r="I71" i="4"/>
  <c r="F72" i="4"/>
  <c r="G72" i="4"/>
  <c r="I72" i="4"/>
  <c r="I33" i="4"/>
  <c r="I34" i="4"/>
  <c r="I36" i="4"/>
  <c r="I37" i="4"/>
  <c r="I38" i="4"/>
  <c r="I39" i="4"/>
  <c r="I40" i="4"/>
  <c r="I41" i="4"/>
  <c r="I42" i="4"/>
  <c r="I44" i="4"/>
  <c r="I45" i="4"/>
  <c r="I46" i="4"/>
  <c r="I47" i="4"/>
  <c r="I6" i="4"/>
  <c r="G7" i="4"/>
  <c r="I7" i="4"/>
  <c r="I8" i="4"/>
  <c r="I10" i="4"/>
  <c r="I11" i="4"/>
  <c r="I12" i="4"/>
  <c r="I13" i="4"/>
  <c r="I14" i="4"/>
  <c r="I15" i="4"/>
  <c r="I16" i="4"/>
  <c r="I17" i="4"/>
  <c r="I18" i="4"/>
  <c r="I19" i="4"/>
  <c r="I20" i="4"/>
  <c r="I21" i="4"/>
  <c r="I22" i="4"/>
  <c r="I23" i="4"/>
  <c r="I24" i="4"/>
  <c r="I25" i="4"/>
  <c r="I26" i="4"/>
  <c r="I28" i="4"/>
  <c r="I29" i="4"/>
  <c r="I30" i="4"/>
  <c r="I31" i="4"/>
  <c r="I32" i="4"/>
  <c r="I5" i="4"/>
  <c r="G4" i="4"/>
  <c r="I4" i="4"/>
  <c r="G117" i="3"/>
  <c r="H7" i="5"/>
  <c r="G74" i="3"/>
  <c r="C159" i="3"/>
  <c r="C155" i="3"/>
  <c r="D135" i="3"/>
  <c r="G8" i="5"/>
  <c r="G73" i="3"/>
  <c r="G60" i="3"/>
  <c r="G64" i="3"/>
  <c r="G53" i="3"/>
  <c r="G36" i="3"/>
  <c r="G25" i="3"/>
  <c r="G19" i="3"/>
  <c r="G79" i="3"/>
  <c r="G95" i="3"/>
  <c r="G94" i="3"/>
  <c r="G146" i="3"/>
  <c r="G12" i="3"/>
  <c r="G151" i="3"/>
  <c r="C161" i="3"/>
  <c r="H5" i="5"/>
  <c r="H6" i="5"/>
  <c r="H8" i="5"/>
  <c r="H9" i="5"/>
  <c r="H10" i="5"/>
  <c r="H11" i="5"/>
  <c r="H12" i="5"/>
  <c r="H13" i="5"/>
  <c r="H14" i="5"/>
  <c r="H15" i="5"/>
  <c r="H17" i="5"/>
  <c r="H18" i="5"/>
  <c r="H20" i="5"/>
  <c r="H21" i="5"/>
  <c r="H22" i="5"/>
  <c r="H23" i="5"/>
  <c r="H25" i="5"/>
  <c r="H28" i="5"/>
  <c r="H29" i="5"/>
  <c r="H30" i="5"/>
  <c r="H31" i="5"/>
  <c r="H32" i="5"/>
  <c r="H33" i="5"/>
  <c r="H34" i="5"/>
  <c r="H4" i="5"/>
  <c r="G128" i="3"/>
  <c r="C158" i="3"/>
  <c r="F65" i="5"/>
  <c r="F68" i="5"/>
  <c r="G65" i="5"/>
  <c r="H65" i="5"/>
  <c r="F75" i="4"/>
  <c r="F76" i="4"/>
  <c r="D70" i="3"/>
  <c r="D20" i="3"/>
  <c r="C163" i="3"/>
  <c r="G143" i="3"/>
  <c r="C157" i="3"/>
  <c r="F76" i="3"/>
  <c r="H78" i="3"/>
  <c r="H77" i="3"/>
  <c r="E81" i="3"/>
  <c r="E80" i="3"/>
  <c r="D148" i="3"/>
  <c r="E60" i="3"/>
  <c r="D25" i="3"/>
  <c r="E19" i="3"/>
  <c r="E36" i="3"/>
  <c r="E41" i="3"/>
  <c r="E53" i="3"/>
  <c r="E64" i="3"/>
  <c r="E73" i="3"/>
  <c r="F15" i="3"/>
  <c r="H62" i="3"/>
  <c r="H61" i="3"/>
  <c r="H60" i="3"/>
  <c r="H119" i="3"/>
  <c r="E83" i="3"/>
  <c r="E86" i="3"/>
  <c r="E89" i="3"/>
  <c r="F79" i="3"/>
  <c r="H145" i="3"/>
  <c r="H144" i="3"/>
  <c r="H137" i="3"/>
  <c r="H136" i="3"/>
  <c r="H135" i="3"/>
  <c r="H132" i="3"/>
  <c r="H130" i="3"/>
  <c r="H128" i="3"/>
  <c r="H124" i="3"/>
  <c r="H123" i="3"/>
  <c r="H110" i="3"/>
  <c r="H107" i="3"/>
  <c r="H104" i="3"/>
  <c r="H102" i="3"/>
  <c r="H100" i="3"/>
  <c r="H98" i="3"/>
  <c r="H90" i="3"/>
  <c r="E95" i="3"/>
  <c r="E117" i="3"/>
  <c r="F94" i="3"/>
  <c r="H93" i="3"/>
  <c r="H92" i="3"/>
  <c r="F143" i="3"/>
  <c r="F12" i="3"/>
  <c r="H113" i="3"/>
  <c r="H114" i="3"/>
  <c r="H122" i="3"/>
  <c r="H111" i="3"/>
  <c r="H29" i="3"/>
  <c r="H28" i="3"/>
  <c r="H27" i="3"/>
  <c r="H26" i="3"/>
  <c r="H34" i="3"/>
  <c r="H33" i="3"/>
  <c r="H32" i="3"/>
  <c r="H31" i="3"/>
  <c r="H30" i="3"/>
  <c r="H25" i="3"/>
  <c r="H24" i="3"/>
  <c r="H23" i="3"/>
  <c r="H71" i="3"/>
  <c r="H69" i="3"/>
  <c r="H47" i="3"/>
  <c r="H18" i="3"/>
  <c r="H45" i="3"/>
  <c r="G86" i="3"/>
  <c r="H142" i="3"/>
  <c r="H21" i="3"/>
  <c r="H35" i="3"/>
  <c r="H22" i="3"/>
  <c r="H20" i="3"/>
  <c r="B5" i="3"/>
  <c r="C5" i="3"/>
  <c r="D5" i="3"/>
  <c r="E5" i="3"/>
  <c r="E6" i="3"/>
  <c r="E7" i="3"/>
  <c r="E8" i="3"/>
  <c r="H143" i="3"/>
  <c r="H94" i="3"/>
  <c r="H79" i="3"/>
  <c r="H76" i="3"/>
  <c r="H15" i="3"/>
  <c r="H12" i="3"/>
  <c r="H148" i="3"/>
  <c r="H147" i="3"/>
  <c r="H118" i="3"/>
  <c r="H105" i="3"/>
  <c r="H126" i="3"/>
  <c r="H140" i="3"/>
  <c r="H121" i="3"/>
  <c r="H129" i="3"/>
  <c r="H134" i="3"/>
  <c r="H125" i="3"/>
  <c r="H141" i="3"/>
  <c r="H133" i="3"/>
  <c r="H131" i="3"/>
  <c r="H127" i="3"/>
  <c r="H120" i="3"/>
  <c r="H139" i="3"/>
  <c r="H138" i="3"/>
  <c r="H117" i="3"/>
  <c r="H97" i="3"/>
  <c r="H96" i="3"/>
  <c r="H109" i="3"/>
  <c r="H106" i="3"/>
  <c r="H101" i="3"/>
  <c r="H116" i="3"/>
  <c r="H115" i="3"/>
  <c r="H112" i="3"/>
  <c r="H108" i="3"/>
  <c r="H103" i="3"/>
  <c r="H99" i="3"/>
  <c r="H95" i="3"/>
  <c r="H91" i="3"/>
  <c r="H89" i="3"/>
  <c r="H88" i="3"/>
  <c r="H87" i="3"/>
  <c r="H86" i="3"/>
  <c r="H85" i="3"/>
  <c r="H84" i="3"/>
  <c r="H83" i="3"/>
  <c r="H82" i="3"/>
  <c r="H81" i="3"/>
  <c r="H80" i="3"/>
  <c r="H75" i="3"/>
  <c r="H74" i="3"/>
  <c r="H73" i="3"/>
  <c r="H70" i="3"/>
  <c r="H68" i="3"/>
  <c r="H67" i="3"/>
  <c r="H66" i="3"/>
  <c r="H65" i="3"/>
  <c r="H64" i="3"/>
  <c r="H63" i="3"/>
  <c r="H59" i="3"/>
  <c r="H58" i="3"/>
  <c r="H57" i="3"/>
  <c r="H56" i="3"/>
  <c r="H55" i="3"/>
  <c r="H54" i="3"/>
  <c r="H53" i="3"/>
  <c r="H52" i="3"/>
  <c r="H51" i="3"/>
  <c r="H50" i="3"/>
  <c r="H49" i="3"/>
  <c r="H48" i="3"/>
  <c r="H46" i="3"/>
  <c r="H44" i="3"/>
  <c r="H43" i="3"/>
  <c r="H42" i="3"/>
  <c r="H41" i="3"/>
  <c r="H40" i="3"/>
  <c r="H39" i="3"/>
  <c r="H38" i="3"/>
  <c r="H37" i="3"/>
  <c r="H36" i="3"/>
  <c r="H19" i="3"/>
  <c r="H17" i="3"/>
  <c r="H16" i="3"/>
  <c r="H14" i="3"/>
  <c r="H13" i="3"/>
  <c r="D6" i="3"/>
  <c r="D7" i="3"/>
  <c r="D8" i="3"/>
  <c r="C6" i="3"/>
  <c r="C7" i="3"/>
  <c r="C8" i="3"/>
  <c r="B6" i="3"/>
  <c r="B7" i="3"/>
  <c r="B8" i="3"/>
  <c r="F146" i="3"/>
  <c r="H146" i="3"/>
  <c r="H151" i="3"/>
  <c r="F151" i="3"/>
  <c r="H149" i="3"/>
</calcChain>
</file>

<file path=xl/comments1.xml><?xml version="1.0" encoding="utf-8"?>
<comments xmlns="http://schemas.openxmlformats.org/spreadsheetml/2006/main">
  <authors>
    <author>David</author>
    <author>Connie McBride</author>
  </authors>
  <commentList>
    <comment ref="A15" authorId="0">
      <text>
        <r>
          <rPr>
            <sz val="9"/>
            <color indexed="81"/>
            <rFont val="Arial"/>
          </rPr>
          <t xml:space="preserve">The purpose of Government Operations is to cover the needs and operations within all the ASUCM branches in a way that is follows the ASUCM Constitution and By-Laws.  Within the Government and Operations section there are many subsections which also have their allocated budget.  These sections include the following.  
-ASUCM Payroll is basically the salary that is paid to the OSL members, ASUCM Compensation is what is granted to chosen or appointed undergraduate students for being a part of the leadership, and ASUCM Student Payroll is the money that is used to pay the interns.  
-The certain leadership roles include the President, Internal Vice President, External Vice President, Treasurer, Director of Academic Affairs, Director of Student Activities, Director of Student Advocacy, Director of Communications, and the Elections Commission.
</t>
        </r>
      </text>
    </comment>
    <comment ref="D20" authorId="1">
      <text>
        <r>
          <rPr>
            <b/>
            <sz val="9"/>
            <color indexed="81"/>
            <rFont val="Arial"/>
          </rPr>
          <t>Connie McBride:</t>
        </r>
        <r>
          <rPr>
            <sz val="9"/>
            <color indexed="81"/>
            <rFont val="Arial"/>
          </rPr>
          <t xml:space="preserve">
09/03/14 $1500.00 from Senate Bills.
</t>
        </r>
      </text>
    </comment>
    <comment ref="D70" authorId="1">
      <text>
        <r>
          <rPr>
            <b/>
            <sz val="9"/>
            <color indexed="81"/>
            <rFont val="Arial"/>
          </rPr>
          <t>Connie McBride:</t>
        </r>
        <r>
          <rPr>
            <sz val="9"/>
            <color indexed="81"/>
            <rFont val="Arial"/>
          </rPr>
          <t xml:space="preserve">
7040.00 from Senate Bills 08/27/14.
</t>
        </r>
      </text>
    </comment>
    <comment ref="A76" authorId="0">
      <text>
        <r>
          <rPr>
            <sz val="9"/>
            <color indexed="81"/>
            <rFont val="Arial"/>
          </rPr>
          <t xml:space="preserve">
The purpose of the ASUCM New Programs and Services is to have a part in the creation of new programs, and/or services as well as supporting continuing programs that are designed to meet the needs of students.  Within the New Programs and Services there are two subsections which are the New Programs and Services General Fund and the Speaker Series.  
-The ASUCM New Programs and Services General Fund is the fund used to help in the creation of new programs and/or services.  
-The ASUCM Speaker Series is the fund is to be used by student groups for when they bring prominent and noteworthy speakers to the UC Merced Campus.
</t>
        </r>
      </text>
    </comment>
    <comment ref="A79" authorId="0">
      <text>
        <r>
          <rPr>
            <sz val="9"/>
            <color indexed="81"/>
            <rFont val="Arial"/>
          </rPr>
          <t xml:space="preserve">The purpose of Students and Service and Programs is to provide all ASUCM members with programs and services which will enhance student life and create a better environment for higher education. This gives funding to the following organizations.  The Inter-Club Council acts as a single voice to UC Merced representing all registered clubs and organizations.  
-The Law Clinic which functions as a free connection between UC Merced students and legal counsel. 
- The Disability Services which provides help to those in need and/or have any type of disability.  
-The Information Technology which provides Audio and Visual support for UC Merced students and staff members and also provides print credits to cat cards to allow the use of printing on campus.  
-The Office of Student Life which hosts a Leadership Conference and a Social Justice Retreat that is hosted by them. 
- The Bobcat Radio which helps in bringing certain concerts and artists to come perform here at UC Merced and help in providing equipment for such events.
-The Prodigy which is the official student newspaper of UC Merced.  
-The Police Citizen Academy which offers a free 10-week Citizen Police Academy which includes topics such as the criminal justice system, domestic violence, and sexual assault.  Lastly the Police Mentor Program in which UC Merced students volunteer with this program to help fourth grade students make positive decisions in life as well as serve as a mentor for these fourth grade students.
</t>
        </r>
      </text>
    </comment>
    <comment ref="A94" authorId="0">
      <text>
        <r>
          <rPr>
            <sz val="9"/>
            <color indexed="81"/>
            <rFont val="Arial"/>
          </rPr>
          <t xml:space="preserve">This part of the budget is dedicated to RCOs (Registered Clubs and Organizations). RCOs are groups whose members and officers are undergraduates from University of California, Merced and are registered with the Office of Student Life. Membership must open to all undergraduates. This part of the budget allocates money for RCOs to use for conferences, trips, and events.  Funding that go RCOs usually cover travel, registration, and lodging cost for a conference or trip, as well as funding for a large events. RCOs cannot charge students entrance to events or programs.  This money cannot be used for campaigning purposes for ASUCM candidates and propositions. Only University of California, Merced undergraduates can access this money, if allocated to the RCO.
</t>
        </r>
      </text>
    </comment>
    <comment ref="A143" authorId="0">
      <text>
        <r>
          <rPr>
            <sz val="9"/>
            <color indexed="81"/>
            <rFont val="Arial"/>
          </rPr>
          <t xml:space="preserve">This part of the budget is dedicated to Savings and Investments of University of California, Merced. It is split up into two groups, student union and future ASUCM payroll. A student union is place where associated students can socialized. A student union may contain chain restaurants. Payroll is being saved to hire more undergraduates. Undergraduates hired to become a civil servant in ASCUM will receive a payroll, such an ASUCM Intern. 
</t>
        </r>
      </text>
    </comment>
    <comment ref="A146" authorId="0">
      <text>
        <r>
          <rPr>
            <sz val="9"/>
            <color indexed="81"/>
            <rFont val="Arial"/>
          </rPr>
          <t xml:space="preserve">This part of the budget is called General Fund. It is split up into four groups: Petty Cash Reserves, Contingency, Senate Bills, and Unallocated. Petty Cash is $500 allocated to fund small purchases or reimbursements, but cannot be used for cash prizes.  Contingency funds are safety nets, to use for emergencies. Bill passed by the Senate can be allocated in General Funds for this year, and future years. The  unallocated sections is for funds that do not have specific use. 
</t>
        </r>
      </text>
    </comment>
    <comment ref="D149" authorId="1">
      <text>
        <r>
          <rPr>
            <b/>
            <sz val="9"/>
            <color indexed="81"/>
            <rFont val="Arial"/>
          </rPr>
          <t>Connie McBride:</t>
        </r>
        <r>
          <rPr>
            <sz val="9"/>
            <color indexed="81"/>
            <rFont val="Arial"/>
          </rPr>
          <t xml:space="preserve">
Moved $7040.0 from Senate Bills to Office Supply SR-08/27/14
Moved $1500.00 from Senate Bills to President General Funds per SR-09/03/14.
Moved 163002.17 from carry forward to senate bill line. 10/03/14 per David A.
Move $2000.00 from senate bills to PAA event line
Moved 14100.00 under Presidents line items to Senate per David 10/14/14
Moved 5900.00 to Seante Bills from USSA line item. per David A. 02/10/15.
Move $400.00 to Court line item per David A 20-12-15
</t>
        </r>
      </text>
    </comment>
  </commentList>
</comments>
</file>

<file path=xl/comments2.xml><?xml version="1.0" encoding="utf-8"?>
<comments xmlns="http://schemas.openxmlformats.org/spreadsheetml/2006/main">
  <authors>
    <author>Connie McBride</author>
  </authors>
  <commentList>
    <comment ref="G4" authorId="0">
      <text>
        <r>
          <rPr>
            <b/>
            <sz val="9"/>
            <color indexed="81"/>
            <rFont val="Arial"/>
          </rPr>
          <t>Connie McBride:</t>
        </r>
        <r>
          <rPr>
            <sz val="9"/>
            <color indexed="81"/>
            <rFont val="Arial"/>
          </rPr>
          <t xml:space="preserve">
Moved overage to senate bill.
</t>
        </r>
      </text>
    </comment>
  </commentList>
</comments>
</file>

<file path=xl/sharedStrings.xml><?xml version="1.0" encoding="utf-8"?>
<sst xmlns="http://schemas.openxmlformats.org/spreadsheetml/2006/main" count="723" uniqueCount="534">
  <si>
    <t># Students</t>
  </si>
  <si>
    <t>ASUCM Fee</t>
  </si>
  <si>
    <t>Amounts</t>
  </si>
  <si>
    <t>Return-To-Aid (25%)</t>
  </si>
  <si>
    <t>Sub-Total After RTA</t>
  </si>
  <si>
    <t>Semester Totals</t>
  </si>
  <si>
    <t>Actual</t>
  </si>
  <si>
    <t>Summer</t>
  </si>
  <si>
    <t>Fall</t>
  </si>
  <si>
    <t>Spring</t>
  </si>
  <si>
    <t>Totals</t>
  </si>
  <si>
    <t>Budget in Detail</t>
  </si>
  <si>
    <t>Project ID</t>
  </si>
  <si>
    <t>Source ID</t>
  </si>
  <si>
    <t>Detail</t>
  </si>
  <si>
    <t>Total</t>
  </si>
  <si>
    <t>Section</t>
  </si>
  <si>
    <t>Spent</t>
  </si>
  <si>
    <t>Balance</t>
  </si>
  <si>
    <t>Memberships</t>
  </si>
  <si>
    <t>DUES</t>
  </si>
  <si>
    <t>UC Students Association</t>
  </si>
  <si>
    <t>UCSA</t>
  </si>
  <si>
    <t>US Student Association</t>
  </si>
  <si>
    <t>USSA</t>
  </si>
  <si>
    <t>Government Operations</t>
  </si>
  <si>
    <t>GOVOPS</t>
  </si>
  <si>
    <t>ASUCM Payroll</t>
  </si>
  <si>
    <t>PAY01</t>
  </si>
  <si>
    <t>ASUCM Compensation</t>
  </si>
  <si>
    <t>PAY02</t>
  </si>
  <si>
    <t>President</t>
  </si>
  <si>
    <t>PRES</t>
  </si>
  <si>
    <t>General Fund</t>
  </si>
  <si>
    <t>PRESGF</t>
  </si>
  <si>
    <t>Travel Fund: Confernces, Trips, Etc.</t>
  </si>
  <si>
    <t>PRESTF</t>
  </si>
  <si>
    <t>Internal Vice-President</t>
  </si>
  <si>
    <t>IVP</t>
  </si>
  <si>
    <t>IVPGF</t>
  </si>
  <si>
    <t>RCO</t>
  </si>
  <si>
    <t>Student Leadership/Civic Engagement</t>
  </si>
  <si>
    <t>IVPLCE</t>
  </si>
  <si>
    <t>You See Leaders Confernce</t>
  </si>
  <si>
    <t>IVPYSL</t>
  </si>
  <si>
    <t>External Vice-President</t>
  </si>
  <si>
    <t>EVP</t>
  </si>
  <si>
    <t>EVPGF</t>
  </si>
  <si>
    <t>UCSA Board Meeting</t>
  </si>
  <si>
    <t>EVPBM</t>
  </si>
  <si>
    <t>EVP Travel</t>
  </si>
  <si>
    <t>EVPTRV</t>
  </si>
  <si>
    <t>UCSA Congress</t>
  </si>
  <si>
    <t>Students of Color Conference</t>
  </si>
  <si>
    <t>Student Legislative Conference</t>
  </si>
  <si>
    <t>Student Lobby Conference</t>
  </si>
  <si>
    <t>EVPSLC</t>
  </si>
  <si>
    <t>Lobby Corps</t>
  </si>
  <si>
    <t>Treasurer</t>
  </si>
  <si>
    <t>TRES</t>
  </si>
  <si>
    <t>Director of Academic Affairs</t>
  </si>
  <si>
    <t>AA</t>
  </si>
  <si>
    <t>AAGF</t>
  </si>
  <si>
    <t>AARG</t>
  </si>
  <si>
    <t>Educational Resources</t>
  </si>
  <si>
    <t>AAER</t>
  </si>
  <si>
    <t>Study Hall/Study Programing</t>
  </si>
  <si>
    <t>AAEE</t>
  </si>
  <si>
    <t>Undergraduate Research Journal</t>
  </si>
  <si>
    <t>AAURJ</t>
  </si>
  <si>
    <t>Events/Programs</t>
  </si>
  <si>
    <t>AAEP</t>
  </si>
  <si>
    <t>Director of Student Advocacy</t>
  </si>
  <si>
    <t>ADVOC</t>
  </si>
  <si>
    <t>Director of Communications</t>
  </si>
  <si>
    <t>COM</t>
  </si>
  <si>
    <t>COMGF</t>
  </si>
  <si>
    <t>ASUCM Paraphernalia</t>
  </si>
  <si>
    <t>ASUCM Marketing</t>
  </si>
  <si>
    <t>COMMAR</t>
  </si>
  <si>
    <t>Xerox Color Cube Supply (OSL)</t>
  </si>
  <si>
    <t>COMOPY</t>
  </si>
  <si>
    <t>Office Supply</t>
  </si>
  <si>
    <t>Elections Commission</t>
  </si>
  <si>
    <t>ELECT</t>
  </si>
  <si>
    <t>Fall Elections</t>
  </si>
  <si>
    <t>Spring Elections</t>
  </si>
  <si>
    <t>Inter-Club Council</t>
  </si>
  <si>
    <t>BILL#</t>
  </si>
  <si>
    <t>ASUCM New Programs and Services</t>
  </si>
  <si>
    <t>NPS</t>
  </si>
  <si>
    <t>ASUCM New Programs and Services General Fund</t>
  </si>
  <si>
    <t>NPSGF</t>
  </si>
  <si>
    <t>ASUCM Services &amp; Programs</t>
  </si>
  <si>
    <t>SP</t>
  </si>
  <si>
    <t>Law Clinic</t>
  </si>
  <si>
    <t>LAW</t>
  </si>
  <si>
    <t>Disability Services</t>
  </si>
  <si>
    <t>DS</t>
  </si>
  <si>
    <t>Information Technology</t>
  </si>
  <si>
    <t>IT</t>
  </si>
  <si>
    <t>Audio &amp; Visual Technical Support for Student Events</t>
  </si>
  <si>
    <t>ITAV</t>
  </si>
  <si>
    <t>Print Credits</t>
  </si>
  <si>
    <t>ITPC</t>
  </si>
  <si>
    <t>Office of Student Life</t>
  </si>
  <si>
    <t>OSL</t>
  </si>
  <si>
    <t>Leadershape Conference</t>
  </si>
  <si>
    <t>OSLLC</t>
  </si>
  <si>
    <t>Social Justice Retreats</t>
  </si>
  <si>
    <t>OSLSJR</t>
  </si>
  <si>
    <t>Bobcat Radio</t>
  </si>
  <si>
    <t>BR</t>
  </si>
  <si>
    <t>Equipment</t>
  </si>
  <si>
    <t>BREQUP</t>
  </si>
  <si>
    <t>Prodigy</t>
  </si>
  <si>
    <t>Registered Campus Organizations</t>
  </si>
  <si>
    <t>Biomedical Engineering Society Conferences</t>
  </si>
  <si>
    <t>Democrats at UC Merced Travel</t>
  </si>
  <si>
    <t>TFDEMS</t>
  </si>
  <si>
    <t>Intervarsity Christian Fellowship Conferences</t>
  </si>
  <si>
    <t>TFIVCF</t>
  </si>
  <si>
    <t>National Society of Black Engineers Conference</t>
  </si>
  <si>
    <t>TFNSBE</t>
  </si>
  <si>
    <t>Society of Women Engineers Conferences</t>
  </si>
  <si>
    <t>TFSWE</t>
  </si>
  <si>
    <t>TFSAE</t>
  </si>
  <si>
    <t>TFBS</t>
  </si>
  <si>
    <t>Hmong Student Association Travel</t>
  </si>
  <si>
    <t>Campus Events, Programs, &amp; Services</t>
  </si>
  <si>
    <t>Society of Women Engineers E-Week</t>
  </si>
  <si>
    <t>CESWE</t>
  </si>
  <si>
    <t>Muslim Students Association: Eid Banquets</t>
  </si>
  <si>
    <t>CEMSA</t>
  </si>
  <si>
    <t>Vietnamese Student Association</t>
  </si>
  <si>
    <t>CEVSA</t>
  </si>
  <si>
    <t>The Entrepreneurial Society at UCM (TESUM)</t>
  </si>
  <si>
    <t>Ohana</t>
  </si>
  <si>
    <t>Korean American Coalition</t>
  </si>
  <si>
    <t>CEKAC</t>
  </si>
  <si>
    <t>Chinese Student Association</t>
  </si>
  <si>
    <t>CECSA</t>
  </si>
  <si>
    <t>South Asian Student Association</t>
  </si>
  <si>
    <t>CESASA</t>
  </si>
  <si>
    <t>Hermanas Unidas</t>
  </si>
  <si>
    <t>Savings &amp; Investments</t>
  </si>
  <si>
    <t>SAVING</t>
  </si>
  <si>
    <t>Student Union</t>
  </si>
  <si>
    <t>SUNION</t>
  </si>
  <si>
    <t>Future ASUCM Payroll</t>
  </si>
  <si>
    <t>PAYROL</t>
  </si>
  <si>
    <t>GENFUND</t>
  </si>
  <si>
    <t>Petty Cash Reserves</t>
  </si>
  <si>
    <t>PETTY</t>
  </si>
  <si>
    <t>Contingency</t>
  </si>
  <si>
    <t>EVPUCS</t>
  </si>
  <si>
    <t>EVPLOB</t>
  </si>
  <si>
    <t>EVPSOC</t>
  </si>
  <si>
    <t>IVPRET</t>
  </si>
  <si>
    <t xml:space="preserve"> </t>
  </si>
  <si>
    <t>PROD</t>
  </si>
  <si>
    <t>COMPAR</t>
  </si>
  <si>
    <t>COMSUP</t>
  </si>
  <si>
    <t>ELFALL</t>
  </si>
  <si>
    <t>ELSPR</t>
  </si>
  <si>
    <t>TFHS</t>
  </si>
  <si>
    <t>TFLAM</t>
  </si>
  <si>
    <t>TFMECO</t>
  </si>
  <si>
    <t>TFMEIT</t>
  </si>
  <si>
    <t>CEBSHH</t>
  </si>
  <si>
    <t>CEHCN</t>
  </si>
  <si>
    <t>CELAS</t>
  </si>
  <si>
    <t>CETES</t>
  </si>
  <si>
    <t>CEOHAN</t>
  </si>
  <si>
    <t>CEMEAC</t>
  </si>
  <si>
    <t>Hmong St Assoc: Hmong Culture Night and Programs</t>
  </si>
  <si>
    <t>Senate Bills</t>
  </si>
  <si>
    <t>ICC#</t>
  </si>
  <si>
    <t>ICCGF</t>
  </si>
  <si>
    <t>PAA Friendship Games</t>
  </si>
  <si>
    <t>Latino Associated Students</t>
  </si>
  <si>
    <t>Ingenieros Unidos</t>
  </si>
  <si>
    <t>EVP Events and Programs</t>
  </si>
  <si>
    <t>EVPEP</t>
  </si>
  <si>
    <t>Student Alumni Association</t>
  </si>
  <si>
    <t>El Club de Espanol</t>
  </si>
  <si>
    <t>AIAA</t>
  </si>
  <si>
    <t>EVPLEG</t>
  </si>
  <si>
    <t>TFBMES</t>
  </si>
  <si>
    <t>CEHHMP</t>
  </si>
  <si>
    <t>CT(BILL#)</t>
  </si>
  <si>
    <t>ASUCM Student Payroll</t>
  </si>
  <si>
    <t>PAY03</t>
  </si>
  <si>
    <t>Central Valley Leadership Conference</t>
  </si>
  <si>
    <t>CVLC</t>
  </si>
  <si>
    <t>Bobcat Theatre</t>
  </si>
  <si>
    <t>Bobcat Media</t>
  </si>
  <si>
    <t>Diversity</t>
  </si>
  <si>
    <t>Multicultural Student Council</t>
  </si>
  <si>
    <t>COMMBM</t>
  </si>
  <si>
    <t>COMMBT</t>
  </si>
  <si>
    <t>COMMBC</t>
  </si>
  <si>
    <t>Business and Commerce</t>
  </si>
  <si>
    <t>Education and Awareness</t>
  </si>
  <si>
    <t>Leadership Outreach</t>
  </si>
  <si>
    <t>Neighborhood Relations</t>
  </si>
  <si>
    <t>Sustainability</t>
  </si>
  <si>
    <t>Women's Council</t>
  </si>
  <si>
    <t>Religious Council</t>
  </si>
  <si>
    <t>COMMEA</t>
  </si>
  <si>
    <t>COMMLO</t>
  </si>
  <si>
    <t>COMMNR</t>
  </si>
  <si>
    <t>COMMSU</t>
  </si>
  <si>
    <t>COMMDI</t>
  </si>
  <si>
    <t>DMCSC</t>
  </si>
  <si>
    <t>LGBTQIA Council</t>
  </si>
  <si>
    <t>DWC</t>
  </si>
  <si>
    <t>DRC</t>
  </si>
  <si>
    <t>ASUCM Elected/Appointed Officers Development</t>
  </si>
  <si>
    <t>USSA Congress</t>
  </si>
  <si>
    <t>EVPUSS</t>
  </si>
  <si>
    <t>Website</t>
  </si>
  <si>
    <t>COMWWW</t>
  </si>
  <si>
    <t>Events/Townhalls</t>
  </si>
  <si>
    <t>Municipal Relations</t>
  </si>
  <si>
    <t>COMMMR</t>
  </si>
  <si>
    <t>Black Student Union Conference</t>
  </si>
  <si>
    <t>TFBSU</t>
  </si>
  <si>
    <t>Engineers for a Sustainable World</t>
  </si>
  <si>
    <t>TFESW</t>
  </si>
  <si>
    <t>Ingenieros Unidos Conference</t>
  </si>
  <si>
    <t>TFIU</t>
  </si>
  <si>
    <t>Merced Pre-Law Society</t>
  </si>
  <si>
    <t>Merced Pre-Law Society Law School Trips</t>
  </si>
  <si>
    <t>TRMPLS</t>
  </si>
  <si>
    <t>Muslim Students Association West Annual Conference</t>
  </si>
  <si>
    <t>TFMSA</t>
  </si>
  <si>
    <t>Sikh Student Association</t>
  </si>
  <si>
    <t>TFCRUCM</t>
  </si>
  <si>
    <t>Colleges Agianst Cancer</t>
  </si>
  <si>
    <t>CECAC</t>
  </si>
  <si>
    <t>CEIU</t>
  </si>
  <si>
    <t>LAMBDA Events</t>
  </si>
  <si>
    <t>CELAMBDA</t>
  </si>
  <si>
    <t>CESSA</t>
  </si>
  <si>
    <t>Society of Women Engineers EYH Conference</t>
  </si>
  <si>
    <t>TFSSA</t>
  </si>
  <si>
    <t>CEELE</t>
  </si>
  <si>
    <t>CEESW</t>
  </si>
  <si>
    <t>CEMPLS</t>
  </si>
  <si>
    <t>CESWEC</t>
  </si>
  <si>
    <t>PAA</t>
  </si>
  <si>
    <t>CEPAA</t>
  </si>
  <si>
    <t>Professional Greek Life Council</t>
  </si>
  <si>
    <t>CEPGLC</t>
  </si>
  <si>
    <t>TFAIAA</t>
  </si>
  <si>
    <t>TFPAA</t>
  </si>
  <si>
    <t>Business Society Conferences</t>
  </si>
  <si>
    <t>CESAA</t>
  </si>
  <si>
    <t>Police Citizen Academy</t>
  </si>
  <si>
    <t>Police Mentor Program</t>
  </si>
  <si>
    <t>PCA</t>
  </si>
  <si>
    <t>PCM</t>
  </si>
  <si>
    <t>LAMBDA Alliance Conference</t>
  </si>
  <si>
    <t>Business Society Events</t>
  </si>
  <si>
    <t>Hip Hop Movement Programming and Events</t>
  </si>
  <si>
    <t>American Society of Mechanical Engineering Conference</t>
  </si>
  <si>
    <t>American Society of Mechanical Engineering Industry Tour</t>
  </si>
  <si>
    <t>American Society of Mechanical Engineers</t>
  </si>
  <si>
    <t>Director of Student Activities</t>
  </si>
  <si>
    <t>ACT</t>
  </si>
  <si>
    <t>Research Grants</t>
  </si>
  <si>
    <t>RCO Early Event Fund</t>
  </si>
  <si>
    <t>ACTEEF</t>
  </si>
  <si>
    <t>ACTSE</t>
  </si>
  <si>
    <t>Summer Events</t>
  </si>
  <si>
    <t>ASUCM Speaker Series</t>
  </si>
  <si>
    <t>NPSSS</t>
  </si>
  <si>
    <t>College Republicans at UC Merced Travel</t>
  </si>
  <si>
    <t>CEAIAA</t>
  </si>
  <si>
    <t>TFHU</t>
  </si>
  <si>
    <t>LGBTQ</t>
  </si>
  <si>
    <t>Unallocated</t>
  </si>
  <si>
    <t>Last year expenses</t>
  </si>
  <si>
    <t>Actual carry forward</t>
  </si>
  <si>
    <t>Carry forward available</t>
  </si>
  <si>
    <t>July 1, 2013 Appropriations</t>
  </si>
  <si>
    <t>Current Encumbrances</t>
  </si>
  <si>
    <t>OSL USE:</t>
  </si>
  <si>
    <t>Union Savings</t>
  </si>
  <si>
    <t>CARRY FORWARD from Ledger</t>
  </si>
  <si>
    <t>2014/15 Expenditures</t>
  </si>
  <si>
    <t>Ledger bal</t>
  </si>
  <si>
    <t>,</t>
  </si>
  <si>
    <t>Date</t>
  </si>
  <si>
    <t>Bill Name</t>
  </si>
  <si>
    <t>Org.Name</t>
  </si>
  <si>
    <t>Date of Event</t>
  </si>
  <si>
    <t>Amount Granted</t>
  </si>
  <si>
    <t>Amount Spent</t>
  </si>
  <si>
    <t>Returned</t>
    <phoneticPr fontId="0" type="noConversion"/>
  </si>
  <si>
    <t>Left Over</t>
  </si>
  <si>
    <t>4.0 Workshop</t>
  </si>
  <si>
    <t>ICC Allocation</t>
  </si>
  <si>
    <t xml:space="preserve">GRANTED  </t>
  </si>
  <si>
    <t>F03</t>
  </si>
  <si>
    <t>F05</t>
  </si>
  <si>
    <t>MSA Welcome Back Barbecue</t>
  </si>
  <si>
    <t>Muslim Student Association</t>
  </si>
  <si>
    <t>Bill #</t>
  </si>
  <si>
    <t>Event Date</t>
    <phoneticPr fontId="1" type="noConversion"/>
  </si>
  <si>
    <t>Funds allocated for Senate Bills</t>
  </si>
  <si>
    <t>1st semester programs completed</t>
  </si>
  <si>
    <t>Valley Fever Awareness Event</t>
  </si>
  <si>
    <t>Phi Delta Epsilon</t>
  </si>
  <si>
    <t>SACNAS National Conference</t>
  </si>
  <si>
    <t>Oct 16-18,2014</t>
  </si>
  <si>
    <t>SACNAS</t>
  </si>
  <si>
    <t>UCSA 26th Annual SOCC</t>
  </si>
  <si>
    <t>Nov 7-9,2014</t>
  </si>
  <si>
    <t>ASUCM</t>
  </si>
  <si>
    <t>Unicef Campus Initiative Summit</t>
  </si>
  <si>
    <t>Oct 9-12,2014</t>
  </si>
  <si>
    <t>Unicef at UC Merced</t>
  </si>
  <si>
    <t>F06</t>
  </si>
  <si>
    <t>Scot Pilgrim vs Relationships</t>
  </si>
  <si>
    <t>AWESOME</t>
  </si>
  <si>
    <t>F08</t>
  </si>
  <si>
    <t>Lawrence Livermore Speaker</t>
  </si>
  <si>
    <t>F09</t>
  </si>
  <si>
    <t>Noche de Ciencias</t>
  </si>
  <si>
    <t>F11</t>
  </si>
  <si>
    <t>Tie Dye Social</t>
  </si>
  <si>
    <t>Lambda Alliance</t>
  </si>
  <si>
    <t>F12</t>
  </si>
  <si>
    <t>Baking 101</t>
  </si>
  <si>
    <t>Bakery Club</t>
  </si>
  <si>
    <t>Fellowship of Catholic University Students 2015 Conference</t>
  </si>
  <si>
    <t>12th Annual UC Davis Pre-Health Student Alliance Conference</t>
  </si>
  <si>
    <t>Catholic Newman Club</t>
  </si>
  <si>
    <t>Premedical Chapter</t>
  </si>
  <si>
    <t>Chi Alpha</t>
  </si>
  <si>
    <t>October 17-19, 2014</t>
  </si>
  <si>
    <t>Merced, Chi Alpha's Fall Retreat Conference</t>
  </si>
  <si>
    <t>October 11-12, 2014</t>
  </si>
  <si>
    <t>F14</t>
  </si>
  <si>
    <t>Chi Alpha Speaker</t>
  </si>
  <si>
    <t>Merced Chi Alpha</t>
  </si>
  <si>
    <t>F18</t>
  </si>
  <si>
    <t>Halloween Baking</t>
  </si>
  <si>
    <t>The SHPE National Conference</t>
  </si>
  <si>
    <t>Nov 5-9</t>
  </si>
  <si>
    <t>Clash of the Warriors Tournament</t>
  </si>
  <si>
    <t>Martial Arts Club</t>
  </si>
  <si>
    <t>F17</t>
  </si>
  <si>
    <t>Past and President's Dinner</t>
  </si>
  <si>
    <t>F20</t>
  </si>
  <si>
    <t>Dia de Los Musertos</t>
  </si>
  <si>
    <t>M.E.CH.A</t>
  </si>
  <si>
    <t>Garba Raas Night</t>
  </si>
  <si>
    <t>F22</t>
  </si>
  <si>
    <t>F23</t>
  </si>
  <si>
    <t>7th Annual Health Social</t>
  </si>
  <si>
    <t>Delta Epsilon Mu</t>
  </si>
  <si>
    <t>F24</t>
  </si>
  <si>
    <t>League of Charity</t>
  </si>
  <si>
    <t>f21</t>
  </si>
  <si>
    <t>Chemistry Week</t>
  </si>
  <si>
    <t>American Chemical Society</t>
  </si>
  <si>
    <t>F26</t>
  </si>
  <si>
    <t>Safety Training</t>
  </si>
  <si>
    <t>Sports Shooting Club</t>
  </si>
  <si>
    <t>F27</t>
  </si>
  <si>
    <t xml:space="preserve">Dr Richard Weikart - speaker </t>
  </si>
  <si>
    <t>Spoken Word Workshop</t>
  </si>
  <si>
    <t>Hip Hop Movement</t>
  </si>
  <si>
    <t>Opportunity in Action</t>
  </si>
  <si>
    <t>March or April 2015</t>
  </si>
  <si>
    <t>College Repubilicans</t>
  </si>
  <si>
    <t>F29</t>
  </si>
  <si>
    <t>F31</t>
  </si>
  <si>
    <t>ASU World Cup</t>
  </si>
  <si>
    <t>African Students Union</t>
  </si>
  <si>
    <t>F32</t>
  </si>
  <si>
    <t>Westrern University Preview Day Trip</t>
  </si>
  <si>
    <t>Pre-Veterinary club</t>
  </si>
  <si>
    <t>F35</t>
  </si>
  <si>
    <t>1984 - 30 years later</t>
  </si>
  <si>
    <t>Sikh Student Assocation</t>
  </si>
  <si>
    <t>National Fame Conference</t>
  </si>
  <si>
    <t>Alpha Kappa Psi</t>
  </si>
  <si>
    <t>Saving Lives with the American Red Cross</t>
  </si>
  <si>
    <t>American Red Cross</t>
  </si>
  <si>
    <t>F36</t>
  </si>
  <si>
    <t>Powder Puff</t>
  </si>
  <si>
    <t>Delta Delta Delta -FSC</t>
  </si>
  <si>
    <t>F38</t>
  </si>
  <si>
    <t>Your Dream Graduate School</t>
  </si>
  <si>
    <t>F10</t>
  </si>
  <si>
    <t>Science Alliance</t>
  </si>
  <si>
    <t>F37</t>
  </si>
  <si>
    <t>ACM Professional Seminar</t>
  </si>
  <si>
    <t>ACM</t>
  </si>
  <si>
    <t>F40</t>
  </si>
  <si>
    <t>ACM Quarterly Lan Party</t>
  </si>
  <si>
    <t xml:space="preserve">Competition </t>
  </si>
  <si>
    <t>May?</t>
  </si>
  <si>
    <t>AiAA</t>
  </si>
  <si>
    <t>Speaker Dinner</t>
  </si>
  <si>
    <t>??</t>
  </si>
  <si>
    <t>F42</t>
  </si>
  <si>
    <t>Appreciation Banquet</t>
  </si>
  <si>
    <t>Afro Terrace Learning Comm</t>
  </si>
  <si>
    <t>F45</t>
  </si>
  <si>
    <t>Western Preview Day</t>
  </si>
  <si>
    <t>Pre-Pharmacy</t>
  </si>
  <si>
    <t>F46</t>
  </si>
  <si>
    <t>Project Smile</t>
  </si>
  <si>
    <t>F47</t>
  </si>
  <si>
    <t>Division Workshops</t>
  </si>
  <si>
    <t>Collaboration 2014</t>
  </si>
  <si>
    <t>F48</t>
  </si>
  <si>
    <t>5th Annual Varsity Banquet</t>
  </si>
  <si>
    <t>Intervarsity Christian Fellowship</t>
  </si>
  <si>
    <t>F50</t>
  </si>
  <si>
    <t>Ctrl-alt Del-eat</t>
  </si>
  <si>
    <t>F51</t>
  </si>
  <si>
    <t>MECHA</t>
  </si>
  <si>
    <t>Posadas</t>
  </si>
  <si>
    <t>Safe Sex Education</t>
  </si>
  <si>
    <t>Lambda</t>
  </si>
  <si>
    <t>F49</t>
  </si>
  <si>
    <t>Scratch Off Fundraiser</t>
  </si>
  <si>
    <t>NSBE</t>
  </si>
  <si>
    <t>F53</t>
  </si>
  <si>
    <t>F56</t>
  </si>
  <si>
    <t>Distinguished Holiday</t>
  </si>
  <si>
    <t>Distinguished Ladies</t>
  </si>
  <si>
    <t>F57</t>
  </si>
  <si>
    <t>Small Group Hangouts</t>
  </si>
  <si>
    <t>Inner Varsity Christian Fellowship</t>
  </si>
  <si>
    <t>APO Winter Gala</t>
  </si>
  <si>
    <t>Alpha Phi Omega</t>
  </si>
  <si>
    <t>VSA</t>
  </si>
  <si>
    <t>July 9th - 26th</t>
  </si>
  <si>
    <t>Good Samaritan Medical and Dental Ministry Mission</t>
  </si>
  <si>
    <t>F58</t>
  </si>
  <si>
    <t>Philanthropy Week</t>
  </si>
  <si>
    <t>F59</t>
  </si>
  <si>
    <t>3D Printer</t>
  </si>
  <si>
    <t>Robotic Society</t>
  </si>
  <si>
    <t>SAE Fraternity Western States Leadership Retreat</t>
  </si>
  <si>
    <t>Feb 20-22,2015</t>
  </si>
  <si>
    <t>FSC</t>
  </si>
  <si>
    <t>Project Smile Guatemala Humanitarian Project</t>
  </si>
  <si>
    <t>Chi Alphas National Leadership Winter Conference 2015</t>
  </si>
  <si>
    <t>Jan 16-19, 2015</t>
  </si>
  <si>
    <t>Last year charge</t>
  </si>
  <si>
    <t>Western University Preview Day Trip</t>
  </si>
  <si>
    <t>done</t>
  </si>
  <si>
    <t>1003.10 still out</t>
  </si>
  <si>
    <t>Needs to be moved to club account</t>
  </si>
  <si>
    <t>Anime Exposition</t>
  </si>
  <si>
    <t>July 2-5, 2015</t>
  </si>
  <si>
    <t>Anime Club</t>
  </si>
  <si>
    <t>SP01</t>
  </si>
  <si>
    <t>ACM Beginning of Year LAN Party</t>
  </si>
  <si>
    <t>Association of Computing Mach</t>
  </si>
  <si>
    <t>Sp02</t>
  </si>
  <si>
    <t>SACNAS Seminar Series</t>
  </si>
  <si>
    <t>sp03</t>
  </si>
  <si>
    <t>Machinery /Chi Alpa - Speaker</t>
  </si>
  <si>
    <t>sp04</t>
  </si>
  <si>
    <t>sp05</t>
  </si>
  <si>
    <t>Alum Day</t>
  </si>
  <si>
    <t>sp06</t>
  </si>
  <si>
    <t>Asian Fest</t>
  </si>
  <si>
    <t>sp08</t>
  </si>
  <si>
    <t>Pan African Council Presents Panel</t>
  </si>
  <si>
    <t>Chess Club</t>
  </si>
  <si>
    <t>Chess Club Tournament</t>
  </si>
  <si>
    <t>Division Workshop Retreat</t>
  </si>
  <si>
    <t>Division</t>
  </si>
  <si>
    <t>sp09</t>
  </si>
  <si>
    <t>Road To Research</t>
  </si>
  <si>
    <t>sp13</t>
  </si>
  <si>
    <t>Vision Board</t>
  </si>
  <si>
    <t>sp14</t>
  </si>
  <si>
    <t>Multi Cultural Baking</t>
  </si>
  <si>
    <t>ASUCM Court</t>
  </si>
  <si>
    <t>Court</t>
  </si>
  <si>
    <t>Project Protect</t>
  </si>
  <si>
    <t>Lamda Theta Nu Sorority</t>
  </si>
  <si>
    <t>March 13-15, 2015</t>
  </si>
  <si>
    <t>Hermanos Unidos</t>
  </si>
  <si>
    <t>National Confernce</t>
  </si>
  <si>
    <t>African Student Union Annual Cultural Night</t>
  </si>
  <si>
    <t>African Student Union</t>
  </si>
  <si>
    <t>sp15</t>
  </si>
  <si>
    <t>Beat to the Drums</t>
  </si>
  <si>
    <t>TBD</t>
  </si>
  <si>
    <t>sp16</t>
  </si>
  <si>
    <t xml:space="preserve">Society of Asian Scientist </t>
  </si>
  <si>
    <t>Conference - Hotel expense</t>
  </si>
  <si>
    <t>Speaker: Eric Thomas</t>
  </si>
  <si>
    <t>04/30/15 TBD</t>
  </si>
  <si>
    <t>Business Society</t>
  </si>
  <si>
    <t xml:space="preserve">Cycling Club Competition </t>
  </si>
  <si>
    <t>Cycling Club</t>
  </si>
  <si>
    <t>Mar 21-22,2015</t>
  </si>
  <si>
    <t>Speakers</t>
  </si>
  <si>
    <t>African Diaspora Student Assoc</t>
  </si>
  <si>
    <t>sp18</t>
  </si>
  <si>
    <t>Cherry Blossom Festival</t>
  </si>
  <si>
    <t>Bobcat Band</t>
  </si>
  <si>
    <t>sp19</t>
  </si>
  <si>
    <t>Society for California Archaeology Trip</t>
  </si>
  <si>
    <t>Anthropological Society</t>
  </si>
  <si>
    <t>sp20</t>
  </si>
  <si>
    <t>Persian New Year</t>
  </si>
  <si>
    <t>Iranian Students Association</t>
  </si>
  <si>
    <t>sp22</t>
  </si>
  <si>
    <t>Circle K District Convention</t>
  </si>
  <si>
    <t xml:space="preserve">Circle K International </t>
  </si>
  <si>
    <t>sp23</t>
  </si>
  <si>
    <t>Rivera out reach</t>
  </si>
  <si>
    <t>Society of Women Engineers</t>
  </si>
  <si>
    <t>sp24</t>
  </si>
  <si>
    <t>Empowering Women of Color Conf - UCB</t>
  </si>
  <si>
    <t>sp25</t>
  </si>
  <si>
    <t>Holi</t>
  </si>
  <si>
    <t>ASUCM Budget 2014/2015 - AS OF 03/04/15</t>
  </si>
  <si>
    <t xml:space="preserve"> As of 03/04/15</t>
  </si>
  <si>
    <r>
      <t xml:space="preserve">                                           </t>
    </r>
    <r>
      <rPr>
        <b/>
        <sz val="16"/>
        <rFont val="Verdana"/>
      </rPr>
      <t>Inter Club Council Bills Granted as of 03/04/15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</si>
</sst>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43" formatCode="_(* #,##0.00_);_(* \(#,##0.00\);_(* &quot;-&quot;??_);_(@_)"/>
    <numFmt numFmtId="164" formatCode="&quot;$&quot;#,##0.00"/>
    <numFmt numFmtId="165" formatCode="mm/dd/yy"/>
  </numFmts>
  <fonts count="28" x14ac:knownFonts="1">
    <font>
      <sz val="10"/>
      <color rgb="FF000000"/>
      <name val="Arial"/>
    </font>
    <font>
      <sz val="12"/>
      <color rgb="FF000000"/>
      <name val="Garamond"/>
    </font>
    <font>
      <sz val="12"/>
      <color rgb="FF000000"/>
      <name val="Garamond"/>
    </font>
    <font>
      <sz val="12"/>
      <color rgb="FF000000"/>
      <name val="Garamond"/>
    </font>
    <font>
      <sz val="12"/>
      <color rgb="FF000000"/>
      <name val="Garamond"/>
    </font>
    <font>
      <sz val="12"/>
      <color rgb="FF000000"/>
      <name val="Garamond"/>
    </font>
    <font>
      <sz val="12"/>
      <color rgb="FF000000"/>
      <name val="Calibri"/>
    </font>
    <font>
      <sz val="12"/>
      <color rgb="FF000000"/>
      <name val="Garamond"/>
    </font>
    <font>
      <sz val="12"/>
      <color rgb="FF000000"/>
      <name val="Calibri"/>
    </font>
    <font>
      <u/>
      <sz val="10"/>
      <color theme="10"/>
      <name val="Arial"/>
    </font>
    <font>
      <u/>
      <sz val="10"/>
      <color theme="11"/>
      <name val="Arial"/>
    </font>
    <font>
      <sz val="8"/>
      <name val="Arial"/>
    </font>
    <font>
      <b/>
      <sz val="36"/>
      <color rgb="FF000000"/>
      <name val="Arial"/>
      <family val="2"/>
    </font>
    <font>
      <sz val="12"/>
      <color rgb="FF000000"/>
      <name val="Arial"/>
      <family val="2"/>
    </font>
    <font>
      <sz val="14"/>
      <color rgb="FF000000"/>
      <name val="Arial"/>
      <family val="2"/>
    </font>
    <font>
      <sz val="14"/>
      <color rgb="FFFFFFFF"/>
      <name val="Arial"/>
      <family val="2"/>
    </font>
    <font>
      <b/>
      <sz val="14"/>
      <color rgb="FFFF0000"/>
      <name val="Arial"/>
      <family val="2"/>
    </font>
    <font>
      <b/>
      <sz val="14"/>
      <color rgb="FF000000"/>
      <name val="Arial"/>
      <family val="2"/>
    </font>
    <font>
      <b/>
      <sz val="14"/>
      <color theme="0"/>
      <name val="Arial"/>
      <family val="2"/>
    </font>
    <font>
      <sz val="9"/>
      <color indexed="81"/>
      <name val="Arial"/>
    </font>
    <font>
      <b/>
      <sz val="9"/>
      <color indexed="81"/>
      <name val="Arial"/>
    </font>
    <font>
      <sz val="10"/>
      <color rgb="FF000000"/>
      <name val="Arial"/>
    </font>
    <font>
      <sz val="14"/>
      <name val="Verdana"/>
      <family val="2"/>
    </font>
    <font>
      <b/>
      <sz val="16"/>
      <name val="Verdana"/>
    </font>
    <font>
      <sz val="14"/>
      <color indexed="9"/>
      <name val="Verdana"/>
    </font>
    <font>
      <sz val="14"/>
      <color rgb="FFFF0000"/>
      <name val="Verdana"/>
    </font>
    <font>
      <sz val="10"/>
      <color indexed="9"/>
      <name val="Verdana"/>
      <family val="2"/>
    </font>
    <font>
      <sz val="14"/>
      <color rgb="FF000000"/>
      <name val="Verdana"/>
    </font>
  </fonts>
  <fills count="26">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FFFF00"/>
        <bgColor indexed="64"/>
      </patternFill>
    </fill>
    <fill>
      <patternFill patternType="solid">
        <fgColor rgb="FF938953"/>
        <bgColor indexed="64"/>
      </patternFill>
    </fill>
    <fill>
      <patternFill patternType="solid">
        <fgColor rgb="FF0000FF"/>
        <bgColor indexed="64"/>
      </patternFill>
    </fill>
    <fill>
      <patternFill patternType="solid">
        <fgColor rgb="FF0000FF"/>
        <bgColor indexed="64"/>
      </patternFill>
    </fill>
    <fill>
      <patternFill patternType="solid">
        <fgColor rgb="FF000000"/>
        <bgColor indexed="64"/>
      </patternFill>
    </fill>
    <fill>
      <patternFill patternType="solid">
        <fgColor rgb="FFFFFF00"/>
        <bgColor indexed="64"/>
      </patternFill>
    </fill>
    <fill>
      <patternFill patternType="solid">
        <fgColor rgb="FFFFFFFF"/>
        <bgColor indexed="64"/>
      </patternFill>
    </fill>
    <fill>
      <patternFill patternType="solid">
        <fgColor rgb="FF938953"/>
        <bgColor indexed="64"/>
      </patternFill>
    </fill>
    <fill>
      <patternFill patternType="solid">
        <fgColor rgb="FFFFFF00"/>
        <bgColor indexed="64"/>
      </patternFill>
    </fill>
    <fill>
      <patternFill patternType="solid">
        <fgColor rgb="FFFFFFFF"/>
        <bgColor indexed="64"/>
      </patternFill>
    </fill>
    <fill>
      <patternFill patternType="solid">
        <fgColor rgb="FF0000FF"/>
        <bgColor indexed="64"/>
      </patternFill>
    </fill>
    <fill>
      <patternFill patternType="solid">
        <fgColor rgb="FF0000FF"/>
        <bgColor indexed="64"/>
      </patternFill>
    </fill>
    <fill>
      <patternFill patternType="solid">
        <fgColor rgb="FF0000FF"/>
        <bgColor indexed="64"/>
      </patternFill>
    </fill>
    <fill>
      <patternFill patternType="solid">
        <fgColor rgb="FFFFFF00"/>
        <bgColor indexed="64"/>
      </patternFill>
    </fill>
    <fill>
      <patternFill patternType="solid">
        <fgColor rgb="FF0000FF"/>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rgb="FFF5ED8A"/>
        <bgColor indexed="64"/>
      </patternFill>
    </fill>
    <fill>
      <patternFill patternType="solid">
        <fgColor indexed="8"/>
        <bgColor indexed="64"/>
      </patternFill>
    </fill>
    <fill>
      <patternFill patternType="solid">
        <fgColor rgb="FFFFFFFF"/>
        <bgColor rgb="FF000000"/>
      </patternFill>
    </fill>
    <fill>
      <patternFill patternType="solid">
        <fgColor theme="4" tint="0.59999389629810485"/>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s>
  <cellStyleXfs count="210">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21"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20">
    <xf numFmtId="0" fontId="0" fillId="0" borderId="0" xfId="0" applyAlignment="1">
      <alignment wrapText="1"/>
    </xf>
    <xf numFmtId="0" fontId="4" fillId="0" borderId="0" xfId="0" applyFont="1" applyAlignment="1">
      <alignment horizontal="right" indent="3"/>
    </xf>
    <xf numFmtId="3" fontId="3" fillId="0" borderId="0" xfId="0" applyNumberFormat="1" applyFont="1" applyBorder="1" applyAlignment="1">
      <alignment horizontal="right" indent="3"/>
    </xf>
    <xf numFmtId="4" fontId="7" fillId="0" borderId="0" xfId="0" applyNumberFormat="1" applyFont="1" applyBorder="1" applyAlignment="1">
      <alignment horizontal="right" indent="3"/>
    </xf>
    <xf numFmtId="0" fontId="4" fillId="0" borderId="0" xfId="0" applyFont="1" applyAlignment="1">
      <alignment horizontal="left" vertical="justify" indent="3"/>
    </xf>
    <xf numFmtId="0" fontId="4" fillId="0" borderId="0" xfId="0" applyFont="1" applyAlignment="1">
      <alignment horizontal="left" vertical="justify"/>
    </xf>
    <xf numFmtId="0" fontId="0" fillId="0" borderId="0" xfId="0" applyAlignment="1">
      <alignment horizontal="left" vertical="justify" indent="3"/>
    </xf>
    <xf numFmtId="164" fontId="0" fillId="0" borderId="0" xfId="0" applyNumberFormat="1" applyAlignment="1">
      <alignment horizontal="left" vertical="justify"/>
    </xf>
    <xf numFmtId="0" fontId="0" fillId="0" borderId="0" xfId="0" applyAlignment="1">
      <alignment horizontal="left" vertical="justify" wrapText="1"/>
    </xf>
    <xf numFmtId="0" fontId="1" fillId="0" borderId="0" xfId="0" applyFont="1" applyAlignment="1">
      <alignment horizontal="left" vertical="justify" indent="3"/>
    </xf>
    <xf numFmtId="8" fontId="4" fillId="0" borderId="0" xfId="0" applyNumberFormat="1" applyFont="1" applyAlignment="1">
      <alignment horizontal="right" indent="3"/>
    </xf>
    <xf numFmtId="0" fontId="13" fillId="0" borderId="0" xfId="0" applyFont="1" applyAlignment="1">
      <alignment horizontal="left" indent="3"/>
    </xf>
    <xf numFmtId="0" fontId="13" fillId="8" borderId="12" xfId="0" applyFont="1" applyFill="1" applyBorder="1" applyAlignment="1">
      <alignment horizontal="left" vertical="justify" indent="3"/>
    </xf>
    <xf numFmtId="0" fontId="13" fillId="8" borderId="12" xfId="0" applyFont="1" applyFill="1" applyBorder="1" applyAlignment="1">
      <alignment horizontal="right" indent="3"/>
    </xf>
    <xf numFmtId="43" fontId="14" fillId="0" borderId="8" xfId="0" applyNumberFormat="1" applyFont="1" applyBorder="1" applyAlignment="1">
      <alignment horizontal="left" vertical="justify"/>
    </xf>
    <xf numFmtId="3" fontId="14" fillId="0" borderId="11" xfId="0" applyNumberFormat="1" applyFont="1" applyBorder="1" applyAlignment="1">
      <alignment horizontal="left" vertical="justify" indent="3"/>
    </xf>
    <xf numFmtId="0" fontId="13" fillId="0" borderId="13" xfId="0" applyFont="1" applyBorder="1" applyAlignment="1">
      <alignment horizontal="left" vertical="justify" indent="3"/>
    </xf>
    <xf numFmtId="0" fontId="13" fillId="0" borderId="13" xfId="0" applyFont="1" applyBorder="1" applyAlignment="1">
      <alignment horizontal="right" indent="3"/>
    </xf>
    <xf numFmtId="0" fontId="14" fillId="0" borderId="4" xfId="0" applyFont="1" applyBorder="1" applyAlignment="1">
      <alignment horizontal="left" vertical="justify" indent="3"/>
    </xf>
    <xf numFmtId="2" fontId="14" fillId="0" borderId="11" xfId="0" applyNumberFormat="1" applyFont="1" applyBorder="1" applyAlignment="1">
      <alignment horizontal="left" vertical="justify" indent="3"/>
    </xf>
    <xf numFmtId="0" fontId="14" fillId="0" borderId="4" xfId="0" applyFont="1" applyBorder="1" applyAlignment="1">
      <alignment horizontal="left" vertical="justify"/>
    </xf>
    <xf numFmtId="43" fontId="15" fillId="11" borderId="18" xfId="0" applyNumberFormat="1" applyFont="1" applyFill="1" applyBorder="1" applyAlignment="1">
      <alignment horizontal="left" vertical="justify"/>
    </xf>
    <xf numFmtId="0" fontId="15" fillId="5" borderId="7" xfId="0" applyFont="1" applyFill="1" applyBorder="1" applyAlignment="1">
      <alignment horizontal="left" vertical="justify"/>
    </xf>
    <xf numFmtId="0" fontId="15" fillId="5" borderId="7" xfId="0" applyFont="1" applyFill="1" applyBorder="1" applyAlignment="1">
      <alignment horizontal="left" vertical="justify" indent="3"/>
    </xf>
    <xf numFmtId="0" fontId="15" fillId="5" borderId="7" xfId="0" applyFont="1" applyFill="1" applyBorder="1" applyAlignment="1">
      <alignment horizontal="right" indent="3"/>
    </xf>
    <xf numFmtId="43" fontId="15" fillId="15" borderId="22" xfId="0" applyNumberFormat="1" applyFont="1" applyFill="1" applyBorder="1" applyAlignment="1">
      <alignment horizontal="left" vertical="justify"/>
    </xf>
    <xf numFmtId="0" fontId="15" fillId="6" borderId="9" xfId="0" applyFont="1" applyFill="1" applyBorder="1" applyAlignment="1">
      <alignment horizontal="left" vertical="justify"/>
    </xf>
    <xf numFmtId="4" fontId="15" fillId="6" borderId="9" xfId="0" applyNumberFormat="1" applyFont="1" applyFill="1" applyBorder="1" applyAlignment="1">
      <alignment horizontal="left" vertical="justify"/>
    </xf>
    <xf numFmtId="4" fontId="15" fillId="6" borderId="9" xfId="0" applyNumberFormat="1" applyFont="1" applyFill="1" applyBorder="1" applyAlignment="1">
      <alignment horizontal="left" vertical="justify" indent="3"/>
    </xf>
    <xf numFmtId="4" fontId="15" fillId="16" borderId="23" xfId="0" applyNumberFormat="1" applyFont="1" applyFill="1" applyBorder="1" applyAlignment="1">
      <alignment horizontal="left" vertical="justify" indent="3"/>
    </xf>
    <xf numFmtId="4" fontId="16" fillId="6" borderId="9" xfId="0" applyNumberFormat="1" applyFont="1" applyFill="1" applyBorder="1" applyAlignment="1">
      <alignment horizontal="right" vertical="justify" indent="2"/>
    </xf>
    <xf numFmtId="4" fontId="15" fillId="6" borderId="9" xfId="0" applyNumberFormat="1" applyFont="1" applyFill="1" applyBorder="1" applyAlignment="1">
      <alignment horizontal="right" vertical="justify" indent="3"/>
    </xf>
    <xf numFmtId="43" fontId="14" fillId="17" borderId="24" xfId="0" applyNumberFormat="1" applyFont="1" applyFill="1" applyBorder="1" applyAlignment="1">
      <alignment horizontal="left" vertical="justify"/>
    </xf>
    <xf numFmtId="0" fontId="14" fillId="2" borderId="1" xfId="0" applyFont="1" applyFill="1" applyBorder="1" applyAlignment="1">
      <alignment horizontal="left" vertical="justify"/>
    </xf>
    <xf numFmtId="4" fontId="14" fillId="2" borderId="1" xfId="0" applyNumberFormat="1" applyFont="1" applyFill="1" applyBorder="1" applyAlignment="1">
      <alignment horizontal="left" vertical="justify" indent="3"/>
    </xf>
    <xf numFmtId="4" fontId="16" fillId="2" borderId="1" xfId="0" applyNumberFormat="1" applyFont="1" applyFill="1" applyBorder="1" applyAlignment="1">
      <alignment horizontal="right" vertical="justify" indent="2"/>
    </xf>
    <xf numFmtId="4" fontId="14" fillId="2" borderId="1" xfId="0" applyNumberFormat="1" applyFont="1" applyFill="1" applyBorder="1" applyAlignment="1">
      <alignment horizontal="right" vertical="justify" indent="3"/>
    </xf>
    <xf numFmtId="0" fontId="15" fillId="18" borderId="25" xfId="0" applyFont="1" applyFill="1" applyBorder="1" applyAlignment="1">
      <alignment horizontal="left" vertical="justify"/>
    </xf>
    <xf numFmtId="4" fontId="15" fillId="14" borderId="21" xfId="0" applyNumberFormat="1" applyFont="1" applyFill="1" applyBorder="1" applyAlignment="1">
      <alignment horizontal="left" vertical="justify" indent="3"/>
    </xf>
    <xf numFmtId="4" fontId="16" fillId="18" borderId="25" xfId="0" applyNumberFormat="1" applyFont="1" applyFill="1" applyBorder="1" applyAlignment="1">
      <alignment horizontal="right" vertical="justify" indent="2"/>
    </xf>
    <xf numFmtId="43" fontId="14" fillId="0" borderId="16" xfId="0" applyNumberFormat="1" applyFont="1" applyBorder="1" applyAlignment="1">
      <alignment horizontal="left" vertical="justify"/>
    </xf>
    <xf numFmtId="4" fontId="14" fillId="0" borderId="4" xfId="0" applyNumberFormat="1" applyFont="1" applyBorder="1" applyAlignment="1">
      <alignment horizontal="left" vertical="justify" indent="3"/>
    </xf>
    <xf numFmtId="4" fontId="16" fillId="0" borderId="4" xfId="0" applyNumberFormat="1" applyFont="1" applyBorder="1" applyAlignment="1">
      <alignment horizontal="right" vertical="justify" indent="2"/>
    </xf>
    <xf numFmtId="4" fontId="14" fillId="0" borderId="1" xfId="0" applyNumberFormat="1" applyFont="1" applyFill="1" applyBorder="1" applyAlignment="1">
      <alignment horizontal="right" vertical="justify" indent="3"/>
    </xf>
    <xf numFmtId="43" fontId="14" fillId="0" borderId="24" xfId="0" applyNumberFormat="1" applyFont="1" applyBorder="1" applyAlignment="1">
      <alignment horizontal="left" vertical="justify"/>
    </xf>
    <xf numFmtId="0" fontId="14" fillId="2" borderId="24" xfId="0" applyFont="1" applyFill="1" applyBorder="1" applyAlignment="1">
      <alignment horizontal="left" vertical="justify"/>
    </xf>
    <xf numFmtId="4" fontId="14" fillId="0" borderId="24" xfId="0" applyNumberFormat="1" applyFont="1" applyBorder="1" applyAlignment="1">
      <alignment horizontal="left" vertical="justify" indent="3"/>
    </xf>
    <xf numFmtId="4" fontId="16" fillId="0" borderId="24" xfId="0" applyNumberFormat="1" applyFont="1" applyBorder="1" applyAlignment="1">
      <alignment horizontal="right" vertical="justify" indent="2"/>
    </xf>
    <xf numFmtId="43" fontId="14" fillId="9" borderId="14" xfId="0" applyNumberFormat="1" applyFont="1" applyFill="1" applyBorder="1" applyAlignment="1">
      <alignment horizontal="left" vertical="justify"/>
    </xf>
    <xf numFmtId="43" fontId="14" fillId="10" borderId="15" xfId="0" applyNumberFormat="1" applyFont="1" applyFill="1" applyBorder="1" applyAlignment="1">
      <alignment horizontal="left" vertical="justify"/>
    </xf>
    <xf numFmtId="0" fontId="14" fillId="3" borderId="2" xfId="0" applyFont="1" applyFill="1" applyBorder="1" applyAlignment="1">
      <alignment horizontal="left" vertical="justify"/>
    </xf>
    <xf numFmtId="4" fontId="14" fillId="3" borderId="2" xfId="0" applyNumberFormat="1" applyFont="1" applyFill="1" applyBorder="1" applyAlignment="1">
      <alignment horizontal="left" vertical="justify" indent="3"/>
    </xf>
    <xf numFmtId="4" fontId="16" fillId="3" borderId="2" xfId="0" applyNumberFormat="1" applyFont="1" applyFill="1" applyBorder="1" applyAlignment="1">
      <alignment horizontal="right" vertical="justify" indent="2"/>
    </xf>
    <xf numFmtId="43" fontId="14" fillId="19" borderId="14" xfId="0" applyNumberFormat="1" applyFont="1" applyFill="1" applyBorder="1" applyAlignment="1">
      <alignment horizontal="left" vertical="justify"/>
    </xf>
    <xf numFmtId="0" fontId="14" fillId="19" borderId="1" xfId="0" applyFont="1" applyFill="1" applyBorder="1" applyAlignment="1">
      <alignment horizontal="left" vertical="justify"/>
    </xf>
    <xf numFmtId="4" fontId="14" fillId="19" borderId="1" xfId="0" applyNumberFormat="1" applyFont="1" applyFill="1" applyBorder="1" applyAlignment="1">
      <alignment horizontal="left" vertical="justify" indent="3"/>
    </xf>
    <xf numFmtId="4" fontId="16" fillId="19" borderId="1" xfId="0" applyNumberFormat="1" applyFont="1" applyFill="1" applyBorder="1" applyAlignment="1">
      <alignment horizontal="right" vertical="justify" indent="2"/>
    </xf>
    <xf numFmtId="4" fontId="14" fillId="19" borderId="1" xfId="0" applyNumberFormat="1" applyFont="1" applyFill="1" applyBorder="1" applyAlignment="1">
      <alignment horizontal="right" vertical="justify" indent="3"/>
    </xf>
    <xf numFmtId="4" fontId="14" fillId="2" borderId="24" xfId="0" applyNumberFormat="1" applyFont="1" applyFill="1" applyBorder="1" applyAlignment="1">
      <alignment horizontal="left" vertical="justify" indent="3"/>
    </xf>
    <xf numFmtId="4" fontId="15" fillId="16" borderId="23" xfId="0" applyNumberFormat="1" applyFont="1" applyFill="1" applyBorder="1" applyAlignment="1">
      <alignment horizontal="right" vertical="justify" indent="3"/>
    </xf>
    <xf numFmtId="4" fontId="15" fillId="7" borderId="10" xfId="0" applyNumberFormat="1" applyFont="1" applyFill="1" applyBorder="1" applyAlignment="1">
      <alignment horizontal="left" vertical="justify" indent="3"/>
    </xf>
    <xf numFmtId="4" fontId="14" fillId="0" borderId="4" xfId="0" applyNumberFormat="1" applyFont="1" applyBorder="1" applyAlignment="1">
      <alignment horizontal="right" vertical="justify" indent="3"/>
    </xf>
    <xf numFmtId="0" fontId="14" fillId="0" borderId="3" xfId="0" applyFont="1" applyBorder="1" applyAlignment="1">
      <alignment horizontal="left" vertical="justify"/>
    </xf>
    <xf numFmtId="0" fontId="17" fillId="0" borderId="4" xfId="0" applyFont="1" applyBorder="1" applyAlignment="1">
      <alignment horizontal="left" vertical="justify"/>
    </xf>
    <xf numFmtId="0" fontId="14" fillId="18" borderId="4" xfId="0" applyFont="1" applyFill="1" applyBorder="1" applyAlignment="1">
      <alignment horizontal="left" vertical="justify" indent="3"/>
    </xf>
    <xf numFmtId="4" fontId="14" fillId="18" borderId="4" xfId="0" applyNumberFormat="1" applyFont="1" applyFill="1" applyBorder="1" applyAlignment="1">
      <alignment horizontal="left" vertical="justify"/>
    </xf>
    <xf numFmtId="4" fontId="14" fillId="18" borderId="4" xfId="0" applyNumberFormat="1" applyFont="1" applyFill="1" applyBorder="1" applyAlignment="1">
      <alignment horizontal="left" vertical="justify" indent="3"/>
    </xf>
    <xf numFmtId="4" fontId="18" fillId="18" borderId="4" xfId="0" applyNumberFormat="1" applyFont="1" applyFill="1" applyBorder="1" applyAlignment="1">
      <alignment horizontal="left" vertical="justify" indent="3"/>
    </xf>
    <xf numFmtId="4" fontId="16" fillId="18" borderId="4" xfId="0" applyNumberFormat="1" applyFont="1" applyFill="1" applyBorder="1" applyAlignment="1">
      <alignment horizontal="right" vertical="justify" indent="2"/>
    </xf>
    <xf numFmtId="4" fontId="18" fillId="18" borderId="4" xfId="0" applyNumberFormat="1" applyFont="1" applyFill="1" applyBorder="1" applyAlignment="1">
      <alignment horizontal="right" vertical="justify" indent="3"/>
    </xf>
    <xf numFmtId="4" fontId="16" fillId="2" borderId="24" xfId="0" applyNumberFormat="1" applyFont="1" applyFill="1" applyBorder="1" applyAlignment="1">
      <alignment horizontal="right" vertical="justify" indent="2"/>
    </xf>
    <xf numFmtId="4" fontId="14" fillId="2" borderId="24" xfId="0" applyNumberFormat="1" applyFont="1" applyFill="1" applyBorder="1" applyAlignment="1">
      <alignment horizontal="right" vertical="justify" indent="3"/>
    </xf>
    <xf numFmtId="0" fontId="14" fillId="0" borderId="24" xfId="0" applyFont="1" applyBorder="1" applyAlignment="1">
      <alignment horizontal="left" vertical="justify"/>
    </xf>
    <xf numFmtId="4" fontId="14" fillId="0" borderId="24" xfId="0" applyNumberFormat="1" applyFont="1" applyFill="1" applyBorder="1" applyAlignment="1">
      <alignment horizontal="right" vertical="justify" indent="3"/>
    </xf>
    <xf numFmtId="0" fontId="14" fillId="20" borderId="24" xfId="0" applyFont="1" applyFill="1" applyBorder="1" applyAlignment="1">
      <alignment horizontal="left" vertical="justify"/>
    </xf>
    <xf numFmtId="43" fontId="14" fillId="20" borderId="24" xfId="0" applyNumberFormat="1" applyFont="1" applyFill="1" applyBorder="1" applyAlignment="1">
      <alignment horizontal="left" vertical="justify"/>
    </xf>
    <xf numFmtId="4" fontId="14" fillId="20" borderId="24" xfId="0" applyNumberFormat="1" applyFont="1" applyFill="1" applyBorder="1" applyAlignment="1">
      <alignment horizontal="left" vertical="justify" indent="3"/>
    </xf>
    <xf numFmtId="4" fontId="16" fillId="20" borderId="24" xfId="0" applyNumberFormat="1" applyFont="1" applyFill="1" applyBorder="1" applyAlignment="1">
      <alignment horizontal="right" vertical="justify" indent="2"/>
    </xf>
    <xf numFmtId="4" fontId="14" fillId="20" borderId="24" xfId="0" applyNumberFormat="1" applyFont="1" applyFill="1" applyBorder="1" applyAlignment="1">
      <alignment horizontal="right" vertical="justify" indent="3"/>
    </xf>
    <xf numFmtId="0" fontId="14" fillId="17" borderId="24" xfId="0" applyFont="1" applyFill="1" applyBorder="1" applyAlignment="1">
      <alignment horizontal="left" vertical="justify"/>
    </xf>
    <xf numFmtId="4" fontId="14" fillId="17" borderId="24" xfId="0" applyNumberFormat="1" applyFont="1" applyFill="1" applyBorder="1" applyAlignment="1">
      <alignment horizontal="left" vertical="justify" indent="3"/>
    </xf>
    <xf numFmtId="4" fontId="16" fillId="17" borderId="24" xfId="0" applyNumberFormat="1" applyFont="1" applyFill="1" applyBorder="1" applyAlignment="1">
      <alignment horizontal="right" vertical="justify" indent="2"/>
    </xf>
    <xf numFmtId="4" fontId="14" fillId="17" borderId="24" xfId="0" applyNumberFormat="1" applyFont="1" applyFill="1" applyBorder="1" applyAlignment="1">
      <alignment horizontal="right" vertical="justify" indent="3"/>
    </xf>
    <xf numFmtId="0" fontId="0" fillId="17" borderId="0" xfId="0" applyFill="1" applyAlignment="1">
      <alignment wrapText="1"/>
    </xf>
    <xf numFmtId="43" fontId="14" fillId="0" borderId="24" xfId="0" applyNumberFormat="1" applyFont="1" applyFill="1" applyBorder="1" applyAlignment="1">
      <alignment horizontal="left" vertical="justify"/>
    </xf>
    <xf numFmtId="0" fontId="14" fillId="0" borderId="24" xfId="0" applyFont="1" applyFill="1" applyBorder="1" applyAlignment="1">
      <alignment horizontal="left" vertical="justify"/>
    </xf>
    <xf numFmtId="4" fontId="14" fillId="0" borderId="24" xfId="0" applyNumberFormat="1" applyFont="1" applyFill="1" applyBorder="1" applyAlignment="1">
      <alignment horizontal="left" vertical="justify" indent="3"/>
    </xf>
    <xf numFmtId="4" fontId="16" fillId="0" borderId="24" xfId="0" applyNumberFormat="1" applyFont="1" applyFill="1" applyBorder="1" applyAlignment="1">
      <alignment horizontal="right" vertical="justify" indent="2"/>
    </xf>
    <xf numFmtId="0" fontId="0" fillId="0" borderId="0" xfId="0" applyFill="1" applyAlignment="1">
      <alignment wrapText="1"/>
    </xf>
    <xf numFmtId="0" fontId="14" fillId="0" borderId="1" xfId="0" applyFont="1" applyFill="1" applyBorder="1" applyAlignment="1">
      <alignment horizontal="left" vertical="justify"/>
    </xf>
    <xf numFmtId="0" fontId="14" fillId="21" borderId="24" xfId="0" applyFont="1" applyFill="1" applyBorder="1" applyAlignment="1">
      <alignment horizontal="left" vertical="justify"/>
    </xf>
    <xf numFmtId="43" fontId="14" fillId="21" borderId="24" xfId="0" applyNumberFormat="1" applyFont="1" applyFill="1" applyBorder="1" applyAlignment="1">
      <alignment horizontal="left" vertical="justify"/>
    </xf>
    <xf numFmtId="4" fontId="14" fillId="21" borderId="24" xfId="0" applyNumberFormat="1" applyFont="1" applyFill="1" applyBorder="1" applyAlignment="1">
      <alignment horizontal="left" vertical="justify" indent="3"/>
    </xf>
    <xf numFmtId="4" fontId="16" fillId="21" borderId="24" xfId="0" applyNumberFormat="1" applyFont="1" applyFill="1" applyBorder="1" applyAlignment="1">
      <alignment horizontal="right" vertical="justify" indent="2"/>
    </xf>
    <xf numFmtId="4" fontId="14" fillId="21" borderId="24" xfId="0" applyNumberFormat="1" applyFont="1" applyFill="1" applyBorder="1" applyAlignment="1">
      <alignment horizontal="right" vertical="justify" indent="3"/>
    </xf>
    <xf numFmtId="43" fontId="14" fillId="12" borderId="19" xfId="0" applyNumberFormat="1" applyFont="1" applyFill="1" applyBorder="1" applyAlignment="1">
      <alignment horizontal="left" vertical="justify" indent="3"/>
    </xf>
    <xf numFmtId="43" fontId="14" fillId="2" borderId="1" xfId="0" applyNumberFormat="1" applyFont="1" applyFill="1" applyBorder="1" applyAlignment="1">
      <alignment horizontal="left" vertical="justify"/>
    </xf>
    <xf numFmtId="43" fontId="15" fillId="18" borderId="25" xfId="0" applyNumberFormat="1" applyFont="1" applyFill="1" applyBorder="1" applyAlignment="1">
      <alignment horizontal="left" vertical="justify"/>
    </xf>
    <xf numFmtId="43" fontId="15" fillId="18" borderId="25" xfId="0" applyNumberFormat="1" applyFont="1" applyFill="1" applyBorder="1" applyAlignment="1">
      <alignment horizontal="left" vertical="justify" indent="3"/>
    </xf>
    <xf numFmtId="43" fontId="14" fillId="2" borderId="24" xfId="0" applyNumberFormat="1" applyFont="1" applyFill="1" applyBorder="1" applyAlignment="1">
      <alignment horizontal="left" vertical="justify"/>
    </xf>
    <xf numFmtId="43" fontId="14" fillId="12" borderId="24" xfId="0" applyNumberFormat="1" applyFont="1" applyFill="1" applyBorder="1" applyAlignment="1">
      <alignment horizontal="left" vertical="justify" indent="3"/>
    </xf>
    <xf numFmtId="43" fontId="14" fillId="12" borderId="19" xfId="0" applyNumberFormat="1" applyFont="1" applyFill="1" applyBorder="1" applyAlignment="1">
      <alignment horizontal="left" vertical="justify"/>
    </xf>
    <xf numFmtId="43" fontId="14" fillId="0" borderId="4" xfId="0" applyNumberFormat="1" applyFont="1" applyBorder="1" applyAlignment="1">
      <alignment horizontal="left" vertical="justify"/>
    </xf>
    <xf numFmtId="43" fontId="14" fillId="0" borderId="4" xfId="0" applyNumberFormat="1" applyFont="1" applyBorder="1" applyAlignment="1">
      <alignment horizontal="left" vertical="justify" indent="3"/>
    </xf>
    <xf numFmtId="43" fontId="14" fillId="0" borderId="11" xfId="0" applyNumberFormat="1" applyFont="1" applyBorder="1" applyAlignment="1">
      <alignment horizontal="left" vertical="justify"/>
    </xf>
    <xf numFmtId="43" fontId="14" fillId="0" borderId="24" xfId="0" applyNumberFormat="1" applyFont="1" applyBorder="1" applyAlignment="1">
      <alignment horizontal="left" vertical="justify" indent="3"/>
    </xf>
    <xf numFmtId="43" fontId="14" fillId="21" borderId="24" xfId="0" applyNumberFormat="1" applyFont="1" applyFill="1" applyBorder="1" applyAlignment="1">
      <alignment horizontal="left" vertical="justify" indent="3"/>
    </xf>
    <xf numFmtId="43" fontId="14" fillId="20" borderId="24" xfId="0" applyNumberFormat="1" applyFont="1" applyFill="1" applyBorder="1" applyAlignment="1">
      <alignment horizontal="left" vertical="justify" indent="3"/>
    </xf>
    <xf numFmtId="43" fontId="14" fillId="17" borderId="24" xfId="0" applyNumberFormat="1" applyFont="1" applyFill="1" applyBorder="1" applyAlignment="1">
      <alignment horizontal="left" vertical="justify" indent="3"/>
    </xf>
    <xf numFmtId="43" fontId="14" fillId="0" borderId="24" xfId="0" applyNumberFormat="1" applyFont="1" applyFill="1" applyBorder="1" applyAlignment="1">
      <alignment horizontal="left" vertical="justify" indent="3"/>
    </xf>
    <xf numFmtId="43" fontId="14" fillId="3" borderId="2" xfId="0" applyNumberFormat="1" applyFont="1" applyFill="1" applyBorder="1" applyAlignment="1">
      <alignment horizontal="left" vertical="justify"/>
    </xf>
    <xf numFmtId="43" fontId="14" fillId="3" borderId="2" xfId="0" applyNumberFormat="1" applyFont="1" applyFill="1" applyBorder="1" applyAlignment="1">
      <alignment horizontal="left" vertical="justify" indent="3"/>
    </xf>
    <xf numFmtId="43" fontId="14" fillId="13" borderId="20" xfId="0" applyNumberFormat="1" applyFont="1" applyFill="1" applyBorder="1" applyAlignment="1">
      <alignment horizontal="left" vertical="justify"/>
    </xf>
    <xf numFmtId="43" fontId="15" fillId="6" borderId="9" xfId="0" applyNumberFormat="1" applyFont="1" applyFill="1" applyBorder="1" applyAlignment="1">
      <alignment horizontal="left" vertical="justify"/>
    </xf>
    <xf numFmtId="43" fontId="15" fillId="16" borderId="23" xfId="0" applyNumberFormat="1" applyFont="1" applyFill="1" applyBorder="1" applyAlignment="1">
      <alignment horizontal="left" vertical="justify" indent="3"/>
    </xf>
    <xf numFmtId="43" fontId="14" fillId="2" borderId="1" xfId="0" applyNumberFormat="1" applyFont="1" applyFill="1" applyBorder="1" applyAlignment="1">
      <alignment horizontal="left" vertical="justify" indent="3"/>
    </xf>
    <xf numFmtId="43" fontId="15" fillId="7" borderId="10" xfId="0" applyNumberFormat="1" applyFont="1" applyFill="1" applyBorder="1" applyAlignment="1">
      <alignment horizontal="left" vertical="justify" indent="3"/>
    </xf>
    <xf numFmtId="43" fontId="14" fillId="19" borderId="19" xfId="0" applyNumberFormat="1" applyFont="1" applyFill="1" applyBorder="1" applyAlignment="1">
      <alignment horizontal="left" vertical="justify"/>
    </xf>
    <xf numFmtId="43" fontId="14" fillId="19" borderId="19" xfId="0" applyNumberFormat="1" applyFont="1" applyFill="1" applyBorder="1" applyAlignment="1">
      <alignment horizontal="left" vertical="justify" indent="3"/>
    </xf>
    <xf numFmtId="43" fontId="14" fillId="4" borderId="5" xfId="0" applyNumberFormat="1" applyFont="1" applyFill="1" applyBorder="1" applyAlignment="1">
      <alignment horizontal="left" vertical="justify"/>
    </xf>
    <xf numFmtId="43" fontId="14" fillId="4" borderId="5" xfId="0" applyNumberFormat="1" applyFont="1" applyFill="1" applyBorder="1" applyAlignment="1">
      <alignment horizontal="left" vertical="justify" indent="3"/>
    </xf>
    <xf numFmtId="43" fontId="14" fillId="0" borderId="6" xfId="0" applyNumberFormat="1" applyFont="1" applyBorder="1" applyAlignment="1">
      <alignment horizontal="left" vertical="justify"/>
    </xf>
    <xf numFmtId="43" fontId="14" fillId="2" borderId="24" xfId="0" applyNumberFormat="1" applyFont="1" applyFill="1" applyBorder="1" applyAlignment="1">
      <alignment horizontal="left" vertical="justify" indent="3"/>
    </xf>
    <xf numFmtId="43" fontId="15" fillId="6" borderId="9" xfId="0" applyNumberFormat="1" applyFont="1" applyFill="1" applyBorder="1" applyAlignment="1">
      <alignment horizontal="left" vertical="justify" indent="3"/>
    </xf>
    <xf numFmtId="43" fontId="14" fillId="0" borderId="11" xfId="0" applyNumberFormat="1" applyFont="1" applyBorder="1" applyAlignment="1">
      <alignment horizontal="left" vertical="justify" indent="3"/>
    </xf>
    <xf numFmtId="43" fontId="14" fillId="0" borderId="6" xfId="0" applyNumberFormat="1" applyFont="1" applyBorder="1" applyAlignment="1">
      <alignment horizontal="left" vertical="justify" indent="3"/>
    </xf>
    <xf numFmtId="0" fontId="17" fillId="0" borderId="24" xfId="0" applyFont="1" applyBorder="1" applyAlignment="1">
      <alignment horizontal="left" vertical="justify" wrapText="1"/>
    </xf>
    <xf numFmtId="0" fontId="0" fillId="0" borderId="24" xfId="0" applyBorder="1" applyAlignment="1">
      <alignment horizontal="left" vertical="justify" wrapText="1"/>
    </xf>
    <xf numFmtId="0" fontId="0" fillId="0" borderId="24" xfId="0" applyBorder="1" applyAlignment="1">
      <alignment wrapText="1"/>
    </xf>
    <xf numFmtId="43" fontId="13" fillId="8" borderId="12" xfId="0" applyNumberFormat="1" applyFont="1" applyFill="1" applyBorder="1" applyAlignment="1">
      <alignment horizontal="left" vertical="justify" indent="3"/>
    </xf>
    <xf numFmtId="43" fontId="15" fillId="5" borderId="7" xfId="0" applyNumberFormat="1" applyFont="1" applyFill="1" applyBorder="1" applyAlignment="1">
      <alignment horizontal="left" vertical="justify"/>
    </xf>
    <xf numFmtId="43" fontId="0" fillId="0" borderId="24" xfId="0" applyNumberFormat="1" applyBorder="1" applyAlignment="1">
      <alignment horizontal="left" vertical="justify" wrapText="1"/>
    </xf>
    <xf numFmtId="43" fontId="14" fillId="18" borderId="4" xfId="0" applyNumberFormat="1" applyFont="1" applyFill="1" applyBorder="1" applyAlignment="1">
      <alignment horizontal="left" vertical="justify" indent="3"/>
    </xf>
    <xf numFmtId="43" fontId="4" fillId="0" borderId="0" xfId="0" applyNumberFormat="1" applyFont="1" applyAlignment="1">
      <alignment horizontal="left" vertical="justify" indent="3"/>
    </xf>
    <xf numFmtId="43" fontId="0" fillId="0" borderId="0" xfId="0" applyNumberFormat="1" applyAlignment="1">
      <alignment horizontal="left" vertical="justify" indent="3"/>
    </xf>
    <xf numFmtId="43" fontId="0" fillId="0" borderId="0" xfId="0" applyNumberFormat="1" applyAlignment="1">
      <alignment horizontal="left" vertical="justify" wrapText="1"/>
    </xf>
    <xf numFmtId="0" fontId="6" fillId="0" borderId="0" xfId="0" applyFont="1" applyBorder="1" applyAlignment="1">
      <alignment horizontal="right" indent="3"/>
    </xf>
    <xf numFmtId="10" fontId="5" fillId="0" borderId="0" xfId="0" applyNumberFormat="1" applyFont="1" applyBorder="1" applyAlignment="1">
      <alignment horizontal="right" indent="3"/>
    </xf>
    <xf numFmtId="0" fontId="8" fillId="0" borderId="0" xfId="0" applyFont="1" applyBorder="1" applyAlignment="1">
      <alignment horizontal="left" vertical="justify" indent="3"/>
    </xf>
    <xf numFmtId="0" fontId="4" fillId="0" borderId="0" xfId="0" applyFont="1" applyBorder="1" applyAlignment="1">
      <alignment horizontal="right" indent="3"/>
    </xf>
    <xf numFmtId="0" fontId="4" fillId="0" borderId="0" xfId="0" applyFont="1" applyBorder="1" applyAlignment="1">
      <alignment horizontal="left" vertical="justify" indent="3"/>
    </xf>
    <xf numFmtId="0" fontId="2" fillId="0" borderId="0" xfId="0" applyFont="1" applyBorder="1" applyAlignment="1">
      <alignment horizontal="left" vertical="justify" indent="3"/>
    </xf>
    <xf numFmtId="3" fontId="1" fillId="0" borderId="0" xfId="0" applyNumberFormat="1" applyFont="1" applyBorder="1" applyAlignment="1">
      <alignment horizontal="left" vertical="justify" indent="3"/>
    </xf>
    <xf numFmtId="164" fontId="0" fillId="0" borderId="0" xfId="0" applyNumberFormat="1" applyFill="1" applyAlignment="1">
      <alignment horizontal="left" vertical="justify"/>
    </xf>
    <xf numFmtId="0" fontId="0" fillId="0" borderId="27" xfId="0" applyBorder="1" applyAlignment="1">
      <alignment horizontal="left" vertical="justify" indent="3"/>
    </xf>
    <xf numFmtId="43" fontId="0" fillId="0" borderId="28" xfId="0" applyNumberFormat="1" applyBorder="1" applyAlignment="1">
      <alignment horizontal="left" vertical="justify" indent="3"/>
    </xf>
    <xf numFmtId="0" fontId="0" fillId="0" borderId="17" xfId="0" applyBorder="1" applyAlignment="1">
      <alignment horizontal="left" vertical="justify" indent="3"/>
    </xf>
    <xf numFmtId="43" fontId="0" fillId="0" borderId="29" xfId="0" applyNumberFormat="1" applyBorder="1" applyAlignment="1">
      <alignment horizontal="left" vertical="justify" indent="3"/>
    </xf>
    <xf numFmtId="0" fontId="0" fillId="17" borderId="17" xfId="0" applyFill="1" applyBorder="1" applyAlignment="1">
      <alignment horizontal="left" vertical="justify" indent="3"/>
    </xf>
    <xf numFmtId="43" fontId="0" fillId="17" borderId="29" xfId="0" applyNumberFormat="1" applyFill="1" applyBorder="1" applyAlignment="1">
      <alignment horizontal="left" vertical="justify" indent="3"/>
    </xf>
    <xf numFmtId="0" fontId="0" fillId="0" borderId="30" xfId="0" applyBorder="1" applyAlignment="1">
      <alignment horizontal="left" vertical="justify" indent="3"/>
    </xf>
    <xf numFmtId="43" fontId="0" fillId="0" borderId="26" xfId="0" applyNumberFormat="1" applyBorder="1" applyAlignment="1">
      <alignment horizontal="left" vertical="justify" indent="3"/>
    </xf>
    <xf numFmtId="165" fontId="24" fillId="23" borderId="24" xfId="0" applyNumberFormat="1" applyFont="1" applyFill="1" applyBorder="1" applyAlignment="1">
      <alignment horizontal="left"/>
    </xf>
    <xf numFmtId="0" fontId="24" fillId="23" borderId="24" xfId="0" applyFont="1" applyFill="1" applyBorder="1" applyAlignment="1"/>
    <xf numFmtId="165" fontId="24" fillId="23" borderId="24" xfId="0" applyNumberFormat="1" applyFont="1" applyFill="1" applyBorder="1" applyAlignment="1">
      <alignment horizontal="right"/>
    </xf>
    <xf numFmtId="44" fontId="24" fillId="23" borderId="24" xfId="0" applyNumberFormat="1" applyFont="1" applyFill="1" applyBorder="1" applyAlignment="1"/>
    <xf numFmtId="4" fontId="24" fillId="23" borderId="24" xfId="0" applyNumberFormat="1" applyFont="1" applyFill="1" applyBorder="1" applyAlignment="1"/>
    <xf numFmtId="43" fontId="24" fillId="23" borderId="24" xfId="165" applyNumberFormat="1" applyFont="1" applyFill="1" applyBorder="1" applyAlignment="1"/>
    <xf numFmtId="0" fontId="22" fillId="0" borderId="24" xfId="0" applyFont="1" applyBorder="1" applyAlignment="1"/>
    <xf numFmtId="165" fontId="22" fillId="0" borderId="24" xfId="0" applyNumberFormat="1" applyFont="1" applyFill="1" applyBorder="1" applyAlignment="1">
      <alignment horizontal="left"/>
    </xf>
    <xf numFmtId="14" fontId="22" fillId="0" borderId="24" xfId="0" applyNumberFormat="1" applyFont="1" applyFill="1" applyBorder="1" applyAlignment="1"/>
    <xf numFmtId="0" fontId="22" fillId="0" borderId="24" xfId="0" applyFont="1" applyFill="1" applyBorder="1" applyAlignment="1"/>
    <xf numFmtId="165" fontId="22" fillId="0" borderId="24" xfId="0" applyNumberFormat="1" applyFont="1" applyFill="1" applyBorder="1" applyAlignment="1">
      <alignment horizontal="right"/>
    </xf>
    <xf numFmtId="44" fontId="22" fillId="0" borderId="24" xfId="0" applyNumberFormat="1" applyFont="1" applyFill="1" applyBorder="1" applyAlignment="1"/>
    <xf numFmtId="4" fontId="25" fillId="0" borderId="24" xfId="0" applyNumberFormat="1" applyFont="1" applyFill="1" applyBorder="1" applyAlignment="1"/>
    <xf numFmtId="43" fontId="22" fillId="0" borderId="24" xfId="0" applyNumberFormat="1" applyFont="1" applyBorder="1" applyAlignment="1"/>
    <xf numFmtId="165" fontId="22" fillId="0" borderId="31" xfId="0" applyNumberFormat="1" applyFont="1" applyBorder="1" applyAlignment="1">
      <alignment horizontal="left"/>
    </xf>
    <xf numFmtId="0" fontId="22" fillId="0" borderId="31" xfId="0" applyFont="1" applyBorder="1" applyAlignment="1"/>
    <xf numFmtId="165" fontId="22" fillId="0" borderId="31" xfId="0" applyNumberFormat="1" applyFont="1" applyBorder="1" applyAlignment="1">
      <alignment horizontal="right"/>
    </xf>
    <xf numFmtId="44" fontId="22" fillId="0" borderId="31" xfId="0" applyNumberFormat="1" applyFont="1" applyBorder="1" applyAlignment="1"/>
    <xf numFmtId="0" fontId="22" fillId="0" borderId="32" xfId="0" applyFont="1" applyBorder="1" applyAlignment="1"/>
    <xf numFmtId="165" fontId="22" fillId="0" borderId="26" xfId="0" applyNumberFormat="1" applyFont="1" applyBorder="1" applyAlignment="1">
      <alignment horizontal="left"/>
    </xf>
    <xf numFmtId="0" fontId="22" fillId="0" borderId="26" xfId="0" applyFont="1" applyBorder="1" applyAlignment="1"/>
    <xf numFmtId="165" fontId="22" fillId="0" borderId="26" xfId="0" applyNumberFormat="1" applyFont="1" applyBorder="1" applyAlignment="1">
      <alignment horizontal="right"/>
    </xf>
    <xf numFmtId="44" fontId="22" fillId="0" borderId="26" xfId="0" applyNumberFormat="1" applyFont="1" applyBorder="1" applyAlignment="1"/>
    <xf numFmtId="165" fontId="22" fillId="0" borderId="26" xfId="0" applyNumberFormat="1" applyFont="1" applyFill="1" applyBorder="1" applyAlignment="1">
      <alignment horizontal="left"/>
    </xf>
    <xf numFmtId="0" fontId="22" fillId="0" borderId="26" xfId="0" applyFont="1" applyFill="1" applyBorder="1" applyAlignment="1"/>
    <xf numFmtId="165" fontId="22" fillId="0" borderId="26" xfId="0" applyNumberFormat="1" applyFont="1" applyFill="1" applyBorder="1" applyAlignment="1">
      <alignment horizontal="right"/>
    </xf>
    <xf numFmtId="165" fontId="22" fillId="24" borderId="26" xfId="0" applyNumberFormat="1" applyFont="1" applyFill="1" applyBorder="1" applyAlignment="1">
      <alignment horizontal="left"/>
    </xf>
    <xf numFmtId="0" fontId="22" fillId="24" borderId="26" xfId="0" applyFont="1" applyFill="1" applyBorder="1" applyAlignment="1"/>
    <xf numFmtId="165" fontId="22" fillId="24" borderId="26" xfId="0" applyNumberFormat="1" applyFont="1" applyFill="1" applyBorder="1" applyAlignment="1">
      <alignment horizontal="right"/>
    </xf>
    <xf numFmtId="43" fontId="22" fillId="0" borderId="24" xfId="0" applyNumberFormat="1" applyFont="1" applyFill="1" applyBorder="1" applyAlignment="1"/>
    <xf numFmtId="4" fontId="22" fillId="0" borderId="24" xfId="0" applyNumberFormat="1" applyFont="1" applyFill="1" applyBorder="1" applyAlignment="1"/>
    <xf numFmtId="165" fontId="25" fillId="0" borderId="24" xfId="0" applyNumberFormat="1" applyFont="1" applyFill="1" applyBorder="1" applyAlignment="1">
      <alignment horizontal="right"/>
    </xf>
    <xf numFmtId="44" fontId="25" fillId="0" borderId="24" xfId="0" applyNumberFormat="1" applyFont="1" applyFill="1" applyBorder="1" applyAlignment="1"/>
    <xf numFmtId="0" fontId="26" fillId="23" borderId="24" xfId="0" applyFont="1" applyFill="1" applyBorder="1" applyAlignment="1"/>
    <xf numFmtId="165" fontId="26" fillId="23" borderId="24" xfId="0" applyNumberFormat="1" applyFont="1" applyFill="1" applyBorder="1" applyAlignment="1"/>
    <xf numFmtId="44" fontId="26" fillId="23" borderId="24" xfId="0" applyNumberFormat="1" applyFont="1" applyFill="1" applyBorder="1" applyAlignment="1"/>
    <xf numFmtId="39" fontId="26" fillId="23" borderId="24" xfId="165" applyNumberFormat="1" applyFont="1" applyFill="1" applyBorder="1" applyAlignment="1"/>
    <xf numFmtId="0" fontId="22" fillId="0" borderId="0" xfId="0" applyFont="1" applyBorder="1" applyAlignment="1"/>
    <xf numFmtId="165" fontId="22" fillId="0" borderId="32" xfId="0" applyNumberFormat="1" applyFont="1" applyFill="1" applyBorder="1" applyAlignment="1"/>
    <xf numFmtId="0" fontId="22" fillId="0" borderId="32" xfId="0" applyFont="1" applyFill="1" applyBorder="1" applyAlignment="1"/>
    <xf numFmtId="14" fontId="22" fillId="0" borderId="32" xfId="0" applyNumberFormat="1" applyFont="1" applyFill="1" applyBorder="1" applyAlignment="1"/>
    <xf numFmtId="44" fontId="22" fillId="0" borderId="32" xfId="0" applyNumberFormat="1" applyFont="1" applyFill="1" applyBorder="1" applyAlignment="1"/>
    <xf numFmtId="39" fontId="22" fillId="0" borderId="24" xfId="0" applyNumberFormat="1" applyFont="1" applyFill="1" applyBorder="1" applyAlignment="1"/>
    <xf numFmtId="165" fontId="22" fillId="0" borderId="24" xfId="0" applyNumberFormat="1" applyFont="1" applyFill="1" applyBorder="1" applyAlignment="1"/>
    <xf numFmtId="14" fontId="22" fillId="0" borderId="0" xfId="0" applyNumberFormat="1" applyFont="1" applyFill="1" applyBorder="1" applyAlignment="1"/>
    <xf numFmtId="17" fontId="22" fillId="0" borderId="24" xfId="0" applyNumberFormat="1" applyFont="1" applyFill="1" applyBorder="1" applyAlignment="1"/>
    <xf numFmtId="15" fontId="22" fillId="0" borderId="24" xfId="0" applyNumberFormat="1" applyFont="1" applyFill="1" applyBorder="1" applyAlignment="1"/>
    <xf numFmtId="0" fontId="22" fillId="0" borderId="34" xfId="0" applyFont="1" applyFill="1" applyBorder="1" applyAlignment="1"/>
    <xf numFmtId="44" fontId="22" fillId="0" borderId="31" xfId="0" applyNumberFormat="1" applyFont="1" applyFill="1" applyBorder="1" applyAlignment="1"/>
    <xf numFmtId="0" fontId="22" fillId="0" borderId="34" xfId="0" applyFont="1" applyBorder="1" applyAlignment="1">
      <alignment vertical="center"/>
    </xf>
    <xf numFmtId="44" fontId="22" fillId="0" borderId="31" xfId="0" applyNumberFormat="1" applyFont="1" applyBorder="1" applyAlignment="1">
      <alignment vertical="center"/>
    </xf>
    <xf numFmtId="0" fontId="0" fillId="0" borderId="0" xfId="0" applyAlignment="1">
      <alignment vertical="center"/>
    </xf>
    <xf numFmtId="0" fontId="15" fillId="18" borderId="24" xfId="0" applyFont="1" applyFill="1" applyBorder="1" applyAlignment="1">
      <alignment horizontal="left" vertical="justify"/>
    </xf>
    <xf numFmtId="0" fontId="27" fillId="0" borderId="24" xfId="0" applyFont="1" applyBorder="1" applyAlignment="1">
      <alignment wrapText="1"/>
    </xf>
    <xf numFmtId="0" fontId="27" fillId="0" borderId="0" xfId="0" applyFont="1" applyAlignment="1">
      <alignment wrapText="1"/>
    </xf>
    <xf numFmtId="0" fontId="27" fillId="0" borderId="26" xfId="0" applyFont="1" applyBorder="1" applyAlignment="1">
      <alignment wrapText="1"/>
    </xf>
    <xf numFmtId="0" fontId="12" fillId="0" borderId="0" xfId="0" applyFont="1" applyAlignment="1">
      <alignment horizontal="left" vertical="justify" indent="3"/>
    </xf>
    <xf numFmtId="165" fontId="22" fillId="22" borderId="0" xfId="0" applyNumberFormat="1" applyFont="1" applyFill="1" applyBorder="1" applyAlignment="1">
      <alignment horizontal="left"/>
    </xf>
    <xf numFmtId="0" fontId="0" fillId="22" borderId="0" xfId="0" applyFill="1" applyAlignment="1"/>
    <xf numFmtId="0" fontId="0" fillId="22" borderId="29" xfId="0" applyFill="1" applyBorder="1" applyAlignment="1"/>
    <xf numFmtId="0" fontId="0" fillId="22" borderId="12" xfId="0" applyFill="1" applyBorder="1" applyAlignment="1"/>
    <xf numFmtId="0" fontId="0" fillId="22" borderId="26" xfId="0" applyFill="1" applyBorder="1" applyAlignment="1"/>
    <xf numFmtId="165" fontId="22" fillId="25" borderId="27" xfId="0" applyNumberFormat="1" applyFont="1" applyFill="1" applyBorder="1" applyAlignment="1"/>
    <xf numFmtId="0" fontId="0" fillId="25" borderId="33" xfId="0" applyFill="1" applyBorder="1" applyAlignment="1"/>
    <xf numFmtId="0" fontId="0" fillId="25" borderId="28" xfId="0" applyFill="1" applyBorder="1" applyAlignment="1"/>
    <xf numFmtId="0" fontId="0" fillId="25" borderId="30" xfId="0" applyFill="1" applyBorder="1" applyAlignment="1"/>
    <xf numFmtId="0" fontId="0" fillId="25" borderId="12" xfId="0" applyFill="1" applyBorder="1" applyAlignment="1"/>
    <xf numFmtId="0" fontId="0" fillId="25" borderId="26" xfId="0" applyFill="1" applyBorder="1" applyAlignment="1"/>
  </cellXfs>
  <cellStyles count="210">
    <cellStyle name="Currency" xfId="165" builtinId="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H167"/>
  <sheetViews>
    <sheetView tabSelected="1" view="pageLayout" zoomScaleNormal="60" zoomScalePageLayoutView="60" workbookViewId="0">
      <selection activeCell="A2" sqref="A2"/>
    </sheetView>
  </sheetViews>
  <sheetFormatPr baseColWidth="10" defaultColWidth="11.5" defaultRowHeight="12" x14ac:dyDescent="0"/>
  <cols>
    <col min="1" max="1" width="49.5" style="8" customWidth="1"/>
    <col min="2" max="2" width="18.83203125" style="8" customWidth="1"/>
    <col min="3" max="3" width="20.33203125" style="135" bestFit="1" customWidth="1"/>
    <col min="4" max="4" width="20.1640625" style="8" bestFit="1" customWidth="1"/>
    <col min="5" max="5" width="20.6640625" style="8" bestFit="1" customWidth="1"/>
    <col min="6" max="6" width="22" style="8" bestFit="1" customWidth="1"/>
    <col min="7" max="7" width="20" bestFit="1" customWidth="1"/>
    <col min="8" max="8" width="21" bestFit="1" customWidth="1"/>
  </cols>
  <sheetData>
    <row r="1" spans="1:8" ht="42">
      <c r="A1" s="208" t="s">
        <v>531</v>
      </c>
      <c r="B1" s="208"/>
      <c r="C1" s="208"/>
      <c r="D1" s="208"/>
      <c r="E1" s="208"/>
      <c r="F1" s="208"/>
      <c r="G1" s="11"/>
      <c r="H1" s="11"/>
    </row>
    <row r="2" spans="1:8" ht="15">
      <c r="A2" s="12"/>
      <c r="B2" s="12"/>
      <c r="C2" s="129"/>
      <c r="D2" s="12"/>
      <c r="E2" s="12"/>
      <c r="F2" s="12"/>
      <c r="G2" s="13"/>
      <c r="H2" s="13"/>
    </row>
    <row r="3" spans="1:8" ht="17">
      <c r="A3" s="14" t="s">
        <v>0</v>
      </c>
      <c r="B3" s="15">
        <v>1750</v>
      </c>
      <c r="C3" s="124">
        <v>5900</v>
      </c>
      <c r="D3" s="15">
        <v>5800</v>
      </c>
      <c r="E3" s="15"/>
      <c r="F3" s="16"/>
      <c r="G3" s="17"/>
      <c r="H3" s="17"/>
    </row>
    <row r="4" spans="1:8" ht="17">
      <c r="A4" s="14" t="s">
        <v>1</v>
      </c>
      <c r="B4" s="18">
        <v>65.680000000000007</v>
      </c>
      <c r="C4" s="103">
        <v>65.680000000000007</v>
      </c>
      <c r="D4" s="18">
        <v>65.680000000000007</v>
      </c>
      <c r="E4" s="18"/>
      <c r="F4" s="16"/>
      <c r="G4" s="17"/>
      <c r="H4" s="17"/>
    </row>
    <row r="5" spans="1:8" ht="17">
      <c r="A5" s="14" t="s">
        <v>2</v>
      </c>
      <c r="B5" s="19">
        <f>B3*B4</f>
        <v>114940.00000000001</v>
      </c>
      <c r="C5" s="124">
        <f>C3*C4</f>
        <v>387512.00000000006</v>
      </c>
      <c r="D5" s="19">
        <f>D3*D4</f>
        <v>380944.00000000006</v>
      </c>
      <c r="E5" s="19">
        <f>(B5+C5)+D5</f>
        <v>883396.00000000012</v>
      </c>
      <c r="F5" s="16"/>
      <c r="G5" s="17"/>
      <c r="H5" s="17"/>
    </row>
    <row r="6" spans="1:8" ht="17">
      <c r="A6" s="14" t="s">
        <v>3</v>
      </c>
      <c r="B6" s="19">
        <f>B5*0.25</f>
        <v>28735.000000000004</v>
      </c>
      <c r="C6" s="124">
        <f>C5*0.25</f>
        <v>96878.000000000015</v>
      </c>
      <c r="D6" s="19">
        <f>D5*0.25</f>
        <v>95236.000000000015</v>
      </c>
      <c r="E6" s="19">
        <f>E5*0.25</f>
        <v>220849.00000000003</v>
      </c>
      <c r="F6" s="16"/>
      <c r="G6" s="17"/>
      <c r="H6" s="17"/>
    </row>
    <row r="7" spans="1:8" ht="17">
      <c r="A7" s="14" t="s">
        <v>4</v>
      </c>
      <c r="B7" s="19">
        <f>B5-B6</f>
        <v>86205.000000000015</v>
      </c>
      <c r="C7" s="124">
        <f>C5-C6</f>
        <v>290634.00000000006</v>
      </c>
      <c r="D7" s="19">
        <f>D5-D6</f>
        <v>285708.00000000006</v>
      </c>
      <c r="E7" s="19">
        <f>E5-E6</f>
        <v>662547.00000000012</v>
      </c>
      <c r="F7" s="16"/>
      <c r="G7" s="17"/>
      <c r="H7" s="17"/>
    </row>
    <row r="8" spans="1:8" ht="17">
      <c r="A8" s="14" t="s">
        <v>5</v>
      </c>
      <c r="B8" s="19">
        <f>B7</f>
        <v>86205.000000000015</v>
      </c>
      <c r="C8" s="124">
        <f>C7</f>
        <v>290634.00000000006</v>
      </c>
      <c r="D8" s="19">
        <f>D7</f>
        <v>285708.00000000006</v>
      </c>
      <c r="E8" s="19">
        <f>E7</f>
        <v>662547.00000000012</v>
      </c>
      <c r="F8" s="16"/>
      <c r="G8" s="17"/>
      <c r="H8" s="17"/>
    </row>
    <row r="9" spans="1:8" ht="17">
      <c r="A9" s="14" t="s">
        <v>6</v>
      </c>
      <c r="B9" s="18" t="s">
        <v>7</v>
      </c>
      <c r="C9" s="103" t="s">
        <v>8</v>
      </c>
      <c r="D9" s="18" t="s">
        <v>9</v>
      </c>
      <c r="E9" s="18" t="s">
        <v>10</v>
      </c>
      <c r="F9" s="16"/>
      <c r="G9" s="17"/>
      <c r="H9" s="17"/>
    </row>
    <row r="10" spans="1:8" ht="17">
      <c r="A10" s="20" t="s">
        <v>0</v>
      </c>
      <c r="B10" s="18"/>
      <c r="C10" s="103"/>
      <c r="D10" s="18"/>
      <c r="E10" s="18"/>
      <c r="F10" s="16"/>
      <c r="G10" s="17"/>
      <c r="H10" s="17"/>
    </row>
    <row r="11" spans="1:8" ht="17">
      <c r="A11" s="21" t="s">
        <v>11</v>
      </c>
      <c r="B11" s="22" t="s">
        <v>12</v>
      </c>
      <c r="C11" s="130" t="s">
        <v>13</v>
      </c>
      <c r="D11" s="23" t="s">
        <v>14</v>
      </c>
      <c r="E11" s="23" t="s">
        <v>15</v>
      </c>
      <c r="F11" s="23" t="s">
        <v>16</v>
      </c>
      <c r="G11" s="24" t="s">
        <v>17</v>
      </c>
      <c r="H11" s="24" t="s">
        <v>18</v>
      </c>
    </row>
    <row r="12" spans="1:8" ht="17">
      <c r="A12" s="25" t="s">
        <v>19</v>
      </c>
      <c r="B12" s="26" t="s">
        <v>20</v>
      </c>
      <c r="C12" s="113"/>
      <c r="D12" s="27"/>
      <c r="E12" s="28"/>
      <c r="F12" s="29">
        <f>E13+E14</f>
        <v>7670</v>
      </c>
      <c r="G12" s="30">
        <f>G13+G14</f>
        <v>-274</v>
      </c>
      <c r="H12" s="31">
        <f>F12+G12</f>
        <v>7396</v>
      </c>
    </row>
    <row r="13" spans="1:8" ht="17">
      <c r="A13" s="32" t="s">
        <v>21</v>
      </c>
      <c r="B13" s="33" t="s">
        <v>20</v>
      </c>
      <c r="C13" s="96" t="s">
        <v>22</v>
      </c>
      <c r="D13" s="96"/>
      <c r="E13" s="95">
        <v>7670</v>
      </c>
      <c r="F13" s="34"/>
      <c r="G13" s="35">
        <f>-274</f>
        <v>-274</v>
      </c>
      <c r="H13" s="36">
        <f>E13+G13</f>
        <v>7396</v>
      </c>
    </row>
    <row r="14" spans="1:8" ht="17">
      <c r="A14" s="32" t="s">
        <v>23</v>
      </c>
      <c r="B14" s="33" t="s">
        <v>20</v>
      </c>
      <c r="C14" s="96" t="s">
        <v>24</v>
      </c>
      <c r="D14" s="96"/>
      <c r="E14" s="95">
        <v>0</v>
      </c>
      <c r="F14" s="34"/>
      <c r="G14" s="35">
        <v>0</v>
      </c>
      <c r="H14" s="36">
        <f>E14+G14</f>
        <v>0</v>
      </c>
    </row>
    <row r="15" spans="1:8" ht="17">
      <c r="A15" s="97" t="s">
        <v>25</v>
      </c>
      <c r="B15" s="37" t="s">
        <v>26</v>
      </c>
      <c r="C15" s="97"/>
      <c r="D15" s="97"/>
      <c r="E15" s="98"/>
      <c r="F15" s="38">
        <f>E16+E17+E18+E19+E36+E41+E52+E53+E60+E63+E64+E73</f>
        <v>232480</v>
      </c>
      <c r="G15" s="39">
        <f>G16+G17+G18+G19+G36+G41+G52+G53+G60+G63+G64+G73+G72</f>
        <v>-96766.219999999987</v>
      </c>
      <c r="H15" s="31">
        <f>F15+G15</f>
        <v>135713.78000000003</v>
      </c>
    </row>
    <row r="16" spans="1:8" ht="17">
      <c r="A16" s="32" t="s">
        <v>27</v>
      </c>
      <c r="B16" s="33" t="s">
        <v>26</v>
      </c>
      <c r="C16" s="96" t="s">
        <v>28</v>
      </c>
      <c r="D16" s="96"/>
      <c r="E16" s="95">
        <v>36000</v>
      </c>
      <c r="F16" s="34"/>
      <c r="G16" s="35">
        <f>-1765.04-960.65-2062.56-1265.93-2056.34-1314.58-1758.08-1116.42-1559.2-964.54-2788.5-1834.59-2079.74-729.47</f>
        <v>-22255.64</v>
      </c>
      <c r="H16" s="36">
        <f>E16+G16</f>
        <v>13744.36</v>
      </c>
    </row>
    <row r="17" spans="1:8" ht="17">
      <c r="A17" s="32" t="s">
        <v>29</v>
      </c>
      <c r="B17" s="33" t="s">
        <v>26</v>
      </c>
      <c r="C17" s="96" t="s">
        <v>30</v>
      </c>
      <c r="D17" s="96"/>
      <c r="E17" s="95">
        <v>19200</v>
      </c>
      <c r="F17" s="34"/>
      <c r="G17" s="35">
        <f>-920-1613.75-4779.84-5038.43-5836.61-2868.12-1279.62</f>
        <v>-22336.37</v>
      </c>
      <c r="H17" s="36">
        <f>E17+G17</f>
        <v>-3136.369999999999</v>
      </c>
    </row>
    <row r="18" spans="1:8" ht="17">
      <c r="A18" s="32" t="s">
        <v>191</v>
      </c>
      <c r="B18" s="45" t="s">
        <v>26</v>
      </c>
      <c r="C18" s="99" t="s">
        <v>192</v>
      </c>
      <c r="D18" s="99"/>
      <c r="E18" s="100">
        <v>12000</v>
      </c>
      <c r="F18" s="58"/>
      <c r="G18" s="70">
        <v>0</v>
      </c>
      <c r="H18" s="71">
        <f>E18+G18</f>
        <v>12000</v>
      </c>
    </row>
    <row r="19" spans="1:8" ht="17">
      <c r="A19" s="32" t="s">
        <v>31</v>
      </c>
      <c r="B19" s="33" t="s">
        <v>26</v>
      </c>
      <c r="C19" s="96" t="s">
        <v>32</v>
      </c>
      <c r="D19" s="101"/>
      <c r="E19" s="95">
        <f>SUM(D20+D22+D23+D24+D25+D30+D31+D32+D33+D34+D35+D21)</f>
        <v>28300</v>
      </c>
      <c r="F19" s="34"/>
      <c r="G19" s="35">
        <f>G20+G21+G22+G23+G24+G25+G30+G31+G32+G33+G34+G35</f>
        <v>-6058.1500000000005</v>
      </c>
      <c r="H19" s="36">
        <f>E19+G19</f>
        <v>22241.85</v>
      </c>
    </row>
    <row r="20" spans="1:8" ht="17">
      <c r="A20" s="20" t="s">
        <v>33</v>
      </c>
      <c r="B20" s="89" t="s">
        <v>26</v>
      </c>
      <c r="C20" s="40" t="s">
        <v>34</v>
      </c>
      <c r="D20" s="102">
        <f>3000+1500</f>
        <v>4500</v>
      </c>
      <c r="E20" s="103"/>
      <c r="F20" s="41"/>
      <c r="G20" s="42">
        <f>-3980-55-55-58.11</f>
        <v>-4148.1099999999997</v>
      </c>
      <c r="H20" s="43">
        <f t="shared" ref="H20:H35" si="0">D20+G20</f>
        <v>351.89000000000033</v>
      </c>
    </row>
    <row r="21" spans="1:8" ht="17">
      <c r="A21" s="20" t="s">
        <v>35</v>
      </c>
      <c r="B21" s="89" t="s">
        <v>26</v>
      </c>
      <c r="C21" s="40" t="s">
        <v>36</v>
      </c>
      <c r="D21" s="102">
        <v>2000</v>
      </c>
      <c r="E21" s="103"/>
      <c r="F21" s="41"/>
      <c r="G21" s="42">
        <f>-7.5-288.63-240.24-824.7</f>
        <v>-1361.0700000000002</v>
      </c>
      <c r="H21" s="43">
        <f t="shared" si="0"/>
        <v>638.92999999999984</v>
      </c>
    </row>
    <row r="22" spans="1:8" ht="17">
      <c r="A22" s="20" t="s">
        <v>196</v>
      </c>
      <c r="B22" s="89" t="s">
        <v>26</v>
      </c>
      <c r="C22" s="40" t="s">
        <v>199</v>
      </c>
      <c r="D22" s="104">
        <v>300</v>
      </c>
      <c r="E22" s="103"/>
      <c r="F22" s="41"/>
      <c r="G22" s="42">
        <v>0</v>
      </c>
      <c r="H22" s="43">
        <f t="shared" si="0"/>
        <v>300</v>
      </c>
    </row>
    <row r="23" spans="1:8" ht="17">
      <c r="A23" s="72" t="s">
        <v>195</v>
      </c>
      <c r="B23" s="85" t="s">
        <v>26</v>
      </c>
      <c r="C23" s="44" t="s">
        <v>200</v>
      </c>
      <c r="D23" s="44">
        <v>300</v>
      </c>
      <c r="E23" s="105"/>
      <c r="F23" s="46"/>
      <c r="G23" s="47">
        <v>0</v>
      </c>
      <c r="H23" s="73">
        <f t="shared" si="0"/>
        <v>300</v>
      </c>
    </row>
    <row r="24" spans="1:8" ht="17">
      <c r="A24" s="72" t="s">
        <v>202</v>
      </c>
      <c r="B24" s="85" t="s">
        <v>26</v>
      </c>
      <c r="C24" s="44" t="s">
        <v>201</v>
      </c>
      <c r="D24" s="44">
        <v>300</v>
      </c>
      <c r="E24" s="105"/>
      <c r="F24" s="46"/>
      <c r="G24" s="47">
        <v>0</v>
      </c>
      <c r="H24" s="73">
        <f t="shared" si="0"/>
        <v>300</v>
      </c>
    </row>
    <row r="25" spans="1:8" ht="17">
      <c r="A25" s="90" t="s">
        <v>197</v>
      </c>
      <c r="B25" s="90" t="s">
        <v>26</v>
      </c>
      <c r="C25" s="91" t="s">
        <v>213</v>
      </c>
      <c r="D25" s="91">
        <f>SUM(D26:D29)</f>
        <v>20900</v>
      </c>
      <c r="E25" s="106"/>
      <c r="F25" s="92"/>
      <c r="G25" s="93">
        <f>SUM(G26:G29)</f>
        <v>-548.97</v>
      </c>
      <c r="H25" s="94">
        <f t="shared" si="0"/>
        <v>20351.03</v>
      </c>
    </row>
    <row r="26" spans="1:8" ht="17">
      <c r="A26" s="74" t="s">
        <v>198</v>
      </c>
      <c r="B26" s="74" t="s">
        <v>26</v>
      </c>
      <c r="C26" s="75" t="s">
        <v>214</v>
      </c>
      <c r="D26" s="75">
        <v>20000</v>
      </c>
      <c r="E26" s="107"/>
      <c r="F26" s="76"/>
      <c r="G26" s="77">
        <f>-40.61-54.48-277.85-176.03</f>
        <v>-548.97</v>
      </c>
      <c r="H26" s="78">
        <f t="shared" si="0"/>
        <v>19451.03</v>
      </c>
    </row>
    <row r="27" spans="1:8" ht="17">
      <c r="A27" s="74" t="s">
        <v>215</v>
      </c>
      <c r="B27" s="74" t="s">
        <v>26</v>
      </c>
      <c r="C27" s="75" t="s">
        <v>281</v>
      </c>
      <c r="D27" s="75">
        <v>300</v>
      </c>
      <c r="E27" s="107"/>
      <c r="F27" s="76"/>
      <c r="G27" s="77">
        <v>0</v>
      </c>
      <c r="H27" s="78">
        <f t="shared" si="0"/>
        <v>300</v>
      </c>
    </row>
    <row r="28" spans="1:8" ht="17">
      <c r="A28" s="74" t="s">
        <v>207</v>
      </c>
      <c r="B28" s="74" t="s">
        <v>26</v>
      </c>
      <c r="C28" s="75" t="s">
        <v>216</v>
      </c>
      <c r="D28" s="75">
        <v>300</v>
      </c>
      <c r="E28" s="107"/>
      <c r="F28" s="76"/>
      <c r="G28" s="77">
        <v>0</v>
      </c>
      <c r="H28" s="78">
        <f t="shared" si="0"/>
        <v>300</v>
      </c>
    </row>
    <row r="29" spans="1:8" ht="17">
      <c r="A29" s="74" t="s">
        <v>208</v>
      </c>
      <c r="B29" s="74" t="s">
        <v>26</v>
      </c>
      <c r="C29" s="75" t="s">
        <v>217</v>
      </c>
      <c r="D29" s="75">
        <v>300</v>
      </c>
      <c r="E29" s="107"/>
      <c r="F29" s="76"/>
      <c r="G29" s="77">
        <v>0</v>
      </c>
      <c r="H29" s="78">
        <f t="shared" si="0"/>
        <v>300</v>
      </c>
    </row>
    <row r="30" spans="1:8" ht="17">
      <c r="A30" s="72" t="s">
        <v>203</v>
      </c>
      <c r="B30" s="85" t="s">
        <v>26</v>
      </c>
      <c r="C30" s="44" t="s">
        <v>209</v>
      </c>
      <c r="D30" s="44">
        <v>0</v>
      </c>
      <c r="E30" s="105"/>
      <c r="F30" s="46"/>
      <c r="G30" s="47">
        <v>0</v>
      </c>
      <c r="H30" s="73">
        <f t="shared" si="0"/>
        <v>0</v>
      </c>
    </row>
    <row r="31" spans="1:8" ht="17">
      <c r="A31" s="72" t="s">
        <v>204</v>
      </c>
      <c r="B31" s="85" t="s">
        <v>26</v>
      </c>
      <c r="C31" s="44" t="s">
        <v>210</v>
      </c>
      <c r="D31" s="44">
        <v>0</v>
      </c>
      <c r="E31" s="105"/>
      <c r="F31" s="46"/>
      <c r="G31" s="47">
        <v>0</v>
      </c>
      <c r="H31" s="73">
        <f t="shared" si="0"/>
        <v>0</v>
      </c>
    </row>
    <row r="32" spans="1:8" ht="17">
      <c r="A32" s="72" t="s">
        <v>224</v>
      </c>
      <c r="B32" s="85" t="s">
        <v>26</v>
      </c>
      <c r="C32" s="44" t="s">
        <v>225</v>
      </c>
      <c r="D32" s="44">
        <v>0</v>
      </c>
      <c r="E32" s="105"/>
      <c r="F32" s="46"/>
      <c r="G32" s="47">
        <v>0</v>
      </c>
      <c r="H32" s="73">
        <f t="shared" si="0"/>
        <v>0</v>
      </c>
    </row>
    <row r="33" spans="1:8" ht="17">
      <c r="A33" s="72" t="s">
        <v>205</v>
      </c>
      <c r="B33" s="85" t="s">
        <v>26</v>
      </c>
      <c r="C33" s="44" t="s">
        <v>211</v>
      </c>
      <c r="D33" s="44">
        <v>0</v>
      </c>
      <c r="E33" s="105"/>
      <c r="F33" s="46"/>
      <c r="G33" s="47">
        <v>0</v>
      </c>
      <c r="H33" s="73">
        <f t="shared" si="0"/>
        <v>0</v>
      </c>
    </row>
    <row r="34" spans="1:8" ht="17">
      <c r="A34" s="72" t="s">
        <v>206</v>
      </c>
      <c r="B34" s="85" t="s">
        <v>26</v>
      </c>
      <c r="C34" s="44" t="s">
        <v>212</v>
      </c>
      <c r="D34" s="44">
        <v>0</v>
      </c>
      <c r="E34" s="105"/>
      <c r="F34" s="46"/>
      <c r="G34" s="47">
        <v>0</v>
      </c>
      <c r="H34" s="73">
        <f t="shared" si="0"/>
        <v>0</v>
      </c>
    </row>
    <row r="35" spans="1:8" ht="17">
      <c r="A35" s="20" t="s">
        <v>193</v>
      </c>
      <c r="B35" s="89" t="s">
        <v>26</v>
      </c>
      <c r="C35" s="40" t="s">
        <v>194</v>
      </c>
      <c r="D35" s="104">
        <v>0</v>
      </c>
      <c r="E35" s="103"/>
      <c r="F35" s="41"/>
      <c r="G35" s="42">
        <v>0</v>
      </c>
      <c r="H35" s="43">
        <f t="shared" si="0"/>
        <v>0</v>
      </c>
    </row>
    <row r="36" spans="1:8" ht="17">
      <c r="A36" s="33" t="s">
        <v>37</v>
      </c>
      <c r="B36" s="33" t="s">
        <v>26</v>
      </c>
      <c r="C36" s="96" t="s">
        <v>38</v>
      </c>
      <c r="D36" s="96"/>
      <c r="E36" s="95">
        <f>D37+D38+D39+D40</f>
        <v>24340</v>
      </c>
      <c r="F36" s="34"/>
      <c r="G36" s="35">
        <f>G37+G38+G39+G40</f>
        <v>-2520.56</v>
      </c>
      <c r="H36" s="36">
        <f>E36+G36</f>
        <v>21819.439999999999</v>
      </c>
    </row>
    <row r="37" spans="1:8" ht="17">
      <c r="A37" s="20" t="s">
        <v>33</v>
      </c>
      <c r="B37" s="89" t="s">
        <v>26</v>
      </c>
      <c r="C37" s="40" t="s">
        <v>39</v>
      </c>
      <c r="D37" s="104">
        <v>500</v>
      </c>
      <c r="E37" s="103"/>
      <c r="F37" s="41"/>
      <c r="G37" s="42">
        <f>-120.52-100.54-103.56-8</f>
        <v>-332.62</v>
      </c>
      <c r="H37" s="43">
        <f>D37+G37</f>
        <v>167.38</v>
      </c>
    </row>
    <row r="38" spans="1:8" ht="17">
      <c r="A38" s="20" t="s">
        <v>41</v>
      </c>
      <c r="B38" s="89" t="s">
        <v>26</v>
      </c>
      <c r="C38" s="40" t="s">
        <v>42</v>
      </c>
      <c r="D38" s="104">
        <v>1000</v>
      </c>
      <c r="E38" s="103"/>
      <c r="F38" s="41"/>
      <c r="G38" s="42">
        <v>0</v>
      </c>
      <c r="H38" s="43">
        <f>D38+G38</f>
        <v>1000</v>
      </c>
    </row>
    <row r="39" spans="1:8" ht="17">
      <c r="A39" s="20" t="s">
        <v>43</v>
      </c>
      <c r="B39" s="89" t="s">
        <v>26</v>
      </c>
      <c r="C39" s="40" t="s">
        <v>44</v>
      </c>
      <c r="D39" s="104">
        <v>13500</v>
      </c>
      <c r="E39" s="103"/>
      <c r="F39" s="41"/>
      <c r="G39" s="42">
        <v>0</v>
      </c>
      <c r="H39" s="43">
        <f>D39+G39</f>
        <v>13500</v>
      </c>
    </row>
    <row r="40" spans="1:8" ht="34">
      <c r="A40" s="20" t="s">
        <v>218</v>
      </c>
      <c r="B40" s="89" t="s">
        <v>26</v>
      </c>
      <c r="C40" s="40" t="s">
        <v>158</v>
      </c>
      <c r="D40" s="104">
        <v>9340</v>
      </c>
      <c r="E40" s="103"/>
      <c r="F40" s="41"/>
      <c r="G40" s="42">
        <f>-7.5-468.2-50-92.34-228.65-1341.25</f>
        <v>-2187.94</v>
      </c>
      <c r="H40" s="43">
        <f>D40+G40</f>
        <v>7152.0599999999995</v>
      </c>
    </row>
    <row r="41" spans="1:8" ht="17">
      <c r="A41" s="33" t="s">
        <v>45</v>
      </c>
      <c r="B41" s="33" t="s">
        <v>26</v>
      </c>
      <c r="C41" s="96" t="s">
        <v>46</v>
      </c>
      <c r="D41" s="96"/>
      <c r="E41" s="95">
        <f>SUM(D42:D51)</f>
        <v>75000</v>
      </c>
      <c r="F41" s="34"/>
      <c r="G41" s="35">
        <f>SUM(G42:G51)</f>
        <v>-23773.299999999996</v>
      </c>
      <c r="H41" s="36">
        <f>E41+G41</f>
        <v>51226.700000000004</v>
      </c>
    </row>
    <row r="42" spans="1:8" ht="17">
      <c r="A42" s="40" t="s">
        <v>33</v>
      </c>
      <c r="B42" s="89" t="s">
        <v>26</v>
      </c>
      <c r="C42" s="40" t="s">
        <v>47</v>
      </c>
      <c r="D42" s="104">
        <v>3500</v>
      </c>
      <c r="E42" s="103"/>
      <c r="F42" s="41"/>
      <c r="G42" s="42">
        <f>-678.38-69.61</f>
        <v>-747.99</v>
      </c>
      <c r="H42" s="43">
        <f>D42+G42</f>
        <v>2752.01</v>
      </c>
    </row>
    <row r="43" spans="1:8" ht="17">
      <c r="A43" s="40" t="s">
        <v>48</v>
      </c>
      <c r="B43" s="89" t="s">
        <v>26</v>
      </c>
      <c r="C43" s="40" t="s">
        <v>49</v>
      </c>
      <c r="D43" s="104">
        <v>1500</v>
      </c>
      <c r="E43" s="103"/>
      <c r="F43" s="41"/>
      <c r="G43" s="42">
        <f>-507.53</f>
        <v>-507.53</v>
      </c>
      <c r="H43" s="43">
        <f t="shared" ref="H43:H51" si="1">D43+G43</f>
        <v>992.47</v>
      </c>
    </row>
    <row r="44" spans="1:8" ht="17">
      <c r="A44" s="40" t="s">
        <v>50</v>
      </c>
      <c r="B44" s="89" t="s">
        <v>26</v>
      </c>
      <c r="C44" s="40" t="s">
        <v>51</v>
      </c>
      <c r="D44" s="104">
        <v>12000</v>
      </c>
      <c r="E44" s="103"/>
      <c r="F44" s="41"/>
      <c r="G44" s="42">
        <f>-338.84-14-467.16-576.85-50-541.94-83.79-203.84-24-416-118.72-48-40.63-359.34-179.76-140-511.78-160.72-174.72-68.4-27.32-369.3-76.16-50-85.27-141.12-9-143.36-12-383.82-203.88-72.9-64.45-143.36-59.05-32-96.97-404.8-243.8-1-211.6-16.5-142.03-20-133.62-163.85-40.7</f>
        <v>-7866.3499999999995</v>
      </c>
      <c r="H44" s="43">
        <f t="shared" si="1"/>
        <v>4133.6500000000005</v>
      </c>
    </row>
    <row r="45" spans="1:8" ht="17">
      <c r="A45" s="44" t="s">
        <v>182</v>
      </c>
      <c r="B45" s="85" t="s">
        <v>26</v>
      </c>
      <c r="C45" s="44" t="s">
        <v>183</v>
      </c>
      <c r="D45" s="44">
        <v>5000</v>
      </c>
      <c r="E45" s="105"/>
      <c r="F45" s="46"/>
      <c r="G45" s="47">
        <f>-102.15-495-186.82</f>
        <v>-783.97</v>
      </c>
      <c r="H45" s="43">
        <f t="shared" si="1"/>
        <v>4216.03</v>
      </c>
    </row>
    <row r="46" spans="1:8" ht="17">
      <c r="A46" s="40" t="s">
        <v>52</v>
      </c>
      <c r="B46" s="89" t="s">
        <v>26</v>
      </c>
      <c r="C46" s="40" t="s">
        <v>155</v>
      </c>
      <c r="D46" s="104">
        <v>12000</v>
      </c>
      <c r="E46" s="103"/>
      <c r="F46" s="41"/>
      <c r="G46" s="42">
        <f>-54-3200-2010-1416.9-2332.7</f>
        <v>-9013.5999999999985</v>
      </c>
      <c r="H46" s="43">
        <f t="shared" si="1"/>
        <v>2986.4000000000015</v>
      </c>
    </row>
    <row r="47" spans="1:8" ht="17">
      <c r="A47" s="44" t="s">
        <v>219</v>
      </c>
      <c r="B47" s="85" t="s">
        <v>26</v>
      </c>
      <c r="C47" s="44" t="s">
        <v>220</v>
      </c>
      <c r="D47" s="44">
        <v>6000</v>
      </c>
      <c r="E47" s="105"/>
      <c r="F47" s="46"/>
      <c r="G47" s="47">
        <f>-185.44-2502.91-22.5-767.6</f>
        <v>-3478.45</v>
      </c>
      <c r="H47" s="73">
        <f t="shared" si="1"/>
        <v>2521.5500000000002</v>
      </c>
    </row>
    <row r="48" spans="1:8" ht="17">
      <c r="A48" s="40" t="s">
        <v>53</v>
      </c>
      <c r="B48" s="89" t="s">
        <v>26</v>
      </c>
      <c r="C48" s="40" t="s">
        <v>157</v>
      </c>
      <c r="D48" s="104">
        <v>16000</v>
      </c>
      <c r="E48" s="103"/>
      <c r="F48" s="41"/>
      <c r="G48" s="42">
        <f>-4000-263.11-1857.07-3746.58-585.34-2610-609.51-500-642.5-96-261.92-55.04-45-49.89-261.92-166.86+12630-3000-300-215.04-17.84-12-760.78-4703.93-1947.32-863.03-390.72-544.01+15000</f>
        <v>-875.40999999999985</v>
      </c>
      <c r="H48" s="43">
        <f t="shared" si="1"/>
        <v>15124.59</v>
      </c>
    </row>
    <row r="49" spans="1:8" ht="17">
      <c r="A49" s="40" t="s">
        <v>54</v>
      </c>
      <c r="B49" s="89" t="s">
        <v>26</v>
      </c>
      <c r="C49" s="40" t="s">
        <v>187</v>
      </c>
      <c r="D49" s="104">
        <v>10000</v>
      </c>
      <c r="E49" s="103"/>
      <c r="F49" s="41"/>
      <c r="G49" s="42">
        <f>-500</f>
        <v>-500</v>
      </c>
      <c r="H49" s="43">
        <f t="shared" si="1"/>
        <v>9500</v>
      </c>
    </row>
    <row r="50" spans="1:8" ht="17">
      <c r="A50" s="40" t="s">
        <v>55</v>
      </c>
      <c r="B50" s="89" t="s">
        <v>26</v>
      </c>
      <c r="C50" s="40" t="s">
        <v>56</v>
      </c>
      <c r="D50" s="104">
        <v>8000</v>
      </c>
      <c r="E50" s="103"/>
      <c r="F50" s="41"/>
      <c r="G50" s="42">
        <v>0</v>
      </c>
      <c r="H50" s="43">
        <f t="shared" si="1"/>
        <v>8000</v>
      </c>
    </row>
    <row r="51" spans="1:8" ht="17">
      <c r="A51" s="40" t="s">
        <v>57</v>
      </c>
      <c r="B51" s="89" t="s">
        <v>26</v>
      </c>
      <c r="C51" s="40" t="s">
        <v>156</v>
      </c>
      <c r="D51" s="104">
        <v>1000</v>
      </c>
      <c r="E51" s="103"/>
      <c r="F51" s="41"/>
      <c r="G51" s="42">
        <v>0</v>
      </c>
      <c r="H51" s="43">
        <f t="shared" si="1"/>
        <v>1000</v>
      </c>
    </row>
    <row r="52" spans="1:8" ht="17">
      <c r="A52" s="48" t="s">
        <v>58</v>
      </c>
      <c r="B52" s="33" t="s">
        <v>26</v>
      </c>
      <c r="C52" s="48" t="s">
        <v>59</v>
      </c>
      <c r="D52" s="96"/>
      <c r="E52" s="95">
        <v>200</v>
      </c>
      <c r="F52" s="34"/>
      <c r="G52" s="35">
        <f>-225.8</f>
        <v>-225.8</v>
      </c>
      <c r="H52" s="36">
        <f>E52+G52</f>
        <v>-25.800000000000011</v>
      </c>
    </row>
    <row r="53" spans="1:8" ht="17">
      <c r="A53" s="48" t="s">
        <v>60</v>
      </c>
      <c r="B53" s="33" t="s">
        <v>26</v>
      </c>
      <c r="C53" s="48" t="s">
        <v>61</v>
      </c>
      <c r="D53" s="96"/>
      <c r="E53" s="95">
        <f>D54+D55+D56+D57+D58+D59</f>
        <v>19000</v>
      </c>
      <c r="F53" s="34"/>
      <c r="G53" s="35">
        <f>SUM(G54:G59)</f>
        <v>-5390.8</v>
      </c>
      <c r="H53" s="36">
        <f>E53+G53</f>
        <v>13609.2</v>
      </c>
    </row>
    <row r="54" spans="1:8" ht="17">
      <c r="A54" s="40" t="s">
        <v>33</v>
      </c>
      <c r="B54" s="89" t="s">
        <v>26</v>
      </c>
      <c r="C54" s="40" t="s">
        <v>62</v>
      </c>
      <c r="D54" s="104">
        <v>1000</v>
      </c>
      <c r="E54" s="103"/>
      <c r="F54" s="41"/>
      <c r="G54" s="42">
        <f>-358.84-67.83-276.67-271.41-352.12-18.11</f>
        <v>-1344.9799999999998</v>
      </c>
      <c r="H54" s="43">
        <f t="shared" ref="H54:H59" si="2">D54+G54</f>
        <v>-344.97999999999979</v>
      </c>
    </row>
    <row r="55" spans="1:8" ht="17">
      <c r="A55" s="40" t="s">
        <v>271</v>
      </c>
      <c r="B55" s="89" t="s">
        <v>26</v>
      </c>
      <c r="C55" s="40" t="s">
        <v>63</v>
      </c>
      <c r="D55" s="104">
        <v>10000</v>
      </c>
      <c r="E55" s="103"/>
      <c r="F55" s="41"/>
      <c r="G55" s="42">
        <f>-201.41-7.5-415.98-7.5-7.5-85-119.43-382-88.43-455.15-272.22-149.64-171.78-171.78</f>
        <v>-2535.3200000000006</v>
      </c>
      <c r="H55" s="43">
        <f t="shared" si="2"/>
        <v>7464.6799999999994</v>
      </c>
    </row>
    <row r="56" spans="1:8" ht="17">
      <c r="A56" s="40" t="s">
        <v>64</v>
      </c>
      <c r="B56" s="89" t="s">
        <v>26</v>
      </c>
      <c r="C56" s="40" t="s">
        <v>65</v>
      </c>
      <c r="D56" s="104">
        <v>3000</v>
      </c>
      <c r="E56" s="103"/>
      <c r="F56" s="41"/>
      <c r="G56" s="42">
        <v>0</v>
      </c>
      <c r="H56" s="43">
        <f t="shared" si="2"/>
        <v>3000</v>
      </c>
    </row>
    <row r="57" spans="1:8" ht="17">
      <c r="A57" s="40" t="s">
        <v>66</v>
      </c>
      <c r="B57" s="89" t="s">
        <v>26</v>
      </c>
      <c r="C57" s="40" t="s">
        <v>67</v>
      </c>
      <c r="D57" s="104">
        <v>0</v>
      </c>
      <c r="E57" s="103"/>
      <c r="F57" s="41"/>
      <c r="G57" s="42">
        <v>0</v>
      </c>
      <c r="H57" s="43">
        <f t="shared" si="2"/>
        <v>0</v>
      </c>
    </row>
    <row r="58" spans="1:8" ht="17">
      <c r="A58" s="40" t="s">
        <v>68</v>
      </c>
      <c r="B58" s="89" t="s">
        <v>26</v>
      </c>
      <c r="C58" s="40" t="s">
        <v>69</v>
      </c>
      <c r="D58" s="104">
        <v>4000</v>
      </c>
      <c r="E58" s="103"/>
      <c r="F58" s="41"/>
      <c r="G58" s="42">
        <f>-195.29-16.87-40-109.39-75.23-129.87-612.36</f>
        <v>-1179.0100000000002</v>
      </c>
      <c r="H58" s="43">
        <f t="shared" si="2"/>
        <v>2820.99</v>
      </c>
    </row>
    <row r="59" spans="1:8" ht="17">
      <c r="A59" s="40" t="s">
        <v>70</v>
      </c>
      <c r="B59" s="89" t="s">
        <v>26</v>
      </c>
      <c r="C59" s="40" t="s">
        <v>71</v>
      </c>
      <c r="D59" s="104">
        <v>1000</v>
      </c>
      <c r="E59" s="103"/>
      <c r="F59" s="41"/>
      <c r="G59" s="42">
        <f>-114.06-217.43</f>
        <v>-331.49</v>
      </c>
      <c r="H59" s="43">
        <f t="shared" si="2"/>
        <v>668.51</v>
      </c>
    </row>
    <row r="60" spans="1:8" s="83" customFormat="1" ht="17">
      <c r="A60" s="32" t="s">
        <v>269</v>
      </c>
      <c r="B60" s="79" t="s">
        <v>26</v>
      </c>
      <c r="C60" s="32" t="s">
        <v>270</v>
      </c>
      <c r="D60" s="32"/>
      <c r="E60" s="108">
        <f>D62+D61</f>
        <v>2000</v>
      </c>
      <c r="F60" s="80"/>
      <c r="G60" s="81">
        <f>G61+G62</f>
        <v>-645.05000000000007</v>
      </c>
      <c r="H60" s="82">
        <f>E60+G60</f>
        <v>1354.9499999999998</v>
      </c>
    </row>
    <row r="61" spans="1:8" s="88" customFormat="1" ht="17">
      <c r="A61" s="84" t="s">
        <v>272</v>
      </c>
      <c r="B61" s="85" t="s">
        <v>26</v>
      </c>
      <c r="C61" s="84" t="s">
        <v>273</v>
      </c>
      <c r="D61" s="84">
        <v>1000</v>
      </c>
      <c r="E61" s="109"/>
      <c r="F61" s="86"/>
      <c r="G61" s="87">
        <f>-68.42-32</f>
        <v>-100.42</v>
      </c>
      <c r="H61" s="73">
        <f>D61+G61</f>
        <v>899.58</v>
      </c>
    </row>
    <row r="62" spans="1:8" s="88" customFormat="1" ht="17">
      <c r="A62" s="84" t="s">
        <v>275</v>
      </c>
      <c r="B62" s="85" t="s">
        <v>26</v>
      </c>
      <c r="C62" s="84" t="s">
        <v>274</v>
      </c>
      <c r="D62" s="84">
        <v>1000</v>
      </c>
      <c r="E62" s="109"/>
      <c r="F62" s="86"/>
      <c r="G62" s="87">
        <f>-285.1-50-57.73-151.8</f>
        <v>-544.63000000000011</v>
      </c>
      <c r="H62" s="73">
        <f>D62+G62</f>
        <v>455.36999999999989</v>
      </c>
    </row>
    <row r="63" spans="1:8" ht="17">
      <c r="A63" s="48" t="s">
        <v>72</v>
      </c>
      <c r="B63" s="33" t="s">
        <v>26</v>
      </c>
      <c r="C63" s="48" t="s">
        <v>73</v>
      </c>
      <c r="D63" s="96"/>
      <c r="E63" s="95">
        <v>1000</v>
      </c>
      <c r="F63" s="34"/>
      <c r="G63" s="35">
        <f>-108.77</f>
        <v>-108.77</v>
      </c>
      <c r="H63" s="36">
        <f>E63+G63</f>
        <v>891.23</v>
      </c>
    </row>
    <row r="64" spans="1:8" ht="17">
      <c r="A64" s="48" t="s">
        <v>74</v>
      </c>
      <c r="B64" s="33" t="s">
        <v>26</v>
      </c>
      <c r="C64" s="48" t="s">
        <v>75</v>
      </c>
      <c r="D64" s="96"/>
      <c r="E64" s="95">
        <f>D65+D66+D67+D68+D69+D70+D71</f>
        <v>13440</v>
      </c>
      <c r="F64" s="34"/>
      <c r="G64" s="35">
        <f>SUM(G65:G70)</f>
        <v>-12937.509999999997</v>
      </c>
      <c r="H64" s="36">
        <f>E64+G64</f>
        <v>502.49000000000342</v>
      </c>
    </row>
    <row r="65" spans="1:8" ht="17">
      <c r="A65" s="40" t="s">
        <v>33</v>
      </c>
      <c r="B65" s="89" t="s">
        <v>26</v>
      </c>
      <c r="C65" s="40" t="s">
        <v>76</v>
      </c>
      <c r="D65" s="104">
        <v>300</v>
      </c>
      <c r="E65" s="103"/>
      <c r="F65" s="41"/>
      <c r="G65" s="42">
        <f>-171.95-11.17</f>
        <v>-183.11999999999998</v>
      </c>
      <c r="H65" s="43">
        <f t="shared" ref="H65:H71" si="3">D65+G65</f>
        <v>116.88000000000002</v>
      </c>
    </row>
    <row r="66" spans="1:8" ht="17">
      <c r="A66" s="40" t="s">
        <v>77</v>
      </c>
      <c r="B66" s="89" t="s">
        <v>26</v>
      </c>
      <c r="C66" s="40" t="s">
        <v>161</v>
      </c>
      <c r="D66" s="104">
        <v>1000</v>
      </c>
      <c r="E66" s="103"/>
      <c r="F66" s="41"/>
      <c r="G66" s="42">
        <v>-318.38</v>
      </c>
      <c r="H66" s="43">
        <f t="shared" si="3"/>
        <v>681.62</v>
      </c>
    </row>
    <row r="67" spans="1:8" ht="17">
      <c r="A67" s="40" t="s">
        <v>78</v>
      </c>
      <c r="B67" s="89" t="s">
        <v>26</v>
      </c>
      <c r="C67" s="40" t="s">
        <v>79</v>
      </c>
      <c r="D67" s="104">
        <v>1000</v>
      </c>
      <c r="E67" s="103"/>
      <c r="F67" s="41"/>
      <c r="G67" s="42">
        <v>0</v>
      </c>
      <c r="H67" s="43">
        <f t="shared" si="3"/>
        <v>1000</v>
      </c>
    </row>
    <row r="68" spans="1:8" ht="17">
      <c r="A68" s="40" t="s">
        <v>80</v>
      </c>
      <c r="B68" s="89" t="s">
        <v>26</v>
      </c>
      <c r="C68" s="40" t="s">
        <v>81</v>
      </c>
      <c r="D68" s="104">
        <v>1000</v>
      </c>
      <c r="E68" s="103"/>
      <c r="F68" s="41"/>
      <c r="G68" s="42">
        <f>-11.97</f>
        <v>-11.97</v>
      </c>
      <c r="H68" s="43">
        <f t="shared" si="3"/>
        <v>988.03</v>
      </c>
    </row>
    <row r="69" spans="1:8" ht="17">
      <c r="A69" s="44" t="s">
        <v>221</v>
      </c>
      <c r="B69" s="85" t="s">
        <v>26</v>
      </c>
      <c r="C69" s="44" t="s">
        <v>222</v>
      </c>
      <c r="D69" s="44">
        <v>100</v>
      </c>
      <c r="E69" s="105"/>
      <c r="F69" s="46"/>
      <c r="G69" s="47">
        <v>0</v>
      </c>
      <c r="H69" s="73">
        <f t="shared" si="3"/>
        <v>100</v>
      </c>
    </row>
    <row r="70" spans="1:8" ht="17">
      <c r="A70" s="40" t="s">
        <v>82</v>
      </c>
      <c r="B70" s="89" t="s">
        <v>26</v>
      </c>
      <c r="C70" s="40" t="s">
        <v>162</v>
      </c>
      <c r="D70" s="104">
        <f>2000+7040</f>
        <v>9040</v>
      </c>
      <c r="E70" s="103"/>
      <c r="F70" s="41"/>
      <c r="G70" s="42">
        <f>-131.04-484.34-7.55-29.45-81.69-244.6-7.51-22.33-16.7-17.23-16.7-11.17-26.86-12.7-647.99-43.59-311.7-40.71+2.98-4926.91-47.62-12.47-153.19-2194.07-14.56-46.43-10.48-5.67-5.87-2429.89-102.14-142.74-11.17-164.96-4.99</f>
        <v>-12424.039999999997</v>
      </c>
      <c r="H70" s="43">
        <f t="shared" si="3"/>
        <v>-3384.0399999999972</v>
      </c>
    </row>
    <row r="71" spans="1:8" ht="17">
      <c r="A71" s="44" t="s">
        <v>223</v>
      </c>
      <c r="B71" s="85" t="s">
        <v>26</v>
      </c>
      <c r="C71" s="44" t="s">
        <v>75</v>
      </c>
      <c r="D71" s="44">
        <v>1000</v>
      </c>
      <c r="E71" s="105"/>
      <c r="F71" s="46"/>
      <c r="G71" s="47">
        <v>0</v>
      </c>
      <c r="H71" s="73">
        <f t="shared" si="3"/>
        <v>1000</v>
      </c>
    </row>
    <row r="72" spans="1:8" ht="17">
      <c r="A72" s="32" t="s">
        <v>489</v>
      </c>
      <c r="B72" s="79" t="s">
        <v>26</v>
      </c>
      <c r="C72" s="32" t="s">
        <v>490</v>
      </c>
      <c r="D72" s="32" t="s">
        <v>159</v>
      </c>
      <c r="E72" s="108">
        <v>400</v>
      </c>
      <c r="F72" s="80"/>
      <c r="G72" s="81">
        <f>-101.48</f>
        <v>-101.48</v>
      </c>
      <c r="H72" s="36">
        <f>E72+G72</f>
        <v>298.52</v>
      </c>
    </row>
    <row r="73" spans="1:8" ht="17">
      <c r="A73" s="48" t="s">
        <v>83</v>
      </c>
      <c r="B73" s="33" t="s">
        <v>26</v>
      </c>
      <c r="C73" s="48" t="s">
        <v>84</v>
      </c>
      <c r="D73" s="96"/>
      <c r="E73" s="95">
        <f>D74+D75</f>
        <v>2000</v>
      </c>
      <c r="F73" s="34"/>
      <c r="G73" s="35">
        <f>G74+G75</f>
        <v>-412.78999999999996</v>
      </c>
      <c r="H73" s="36">
        <f>E73+G73</f>
        <v>1587.21</v>
      </c>
    </row>
    <row r="74" spans="1:8" ht="17">
      <c r="A74" s="49" t="s">
        <v>85</v>
      </c>
      <c r="B74" s="50" t="s">
        <v>26</v>
      </c>
      <c r="C74" s="49" t="s">
        <v>163</v>
      </c>
      <c r="D74" s="110">
        <v>750</v>
      </c>
      <c r="E74" s="111"/>
      <c r="F74" s="51"/>
      <c r="G74" s="52">
        <f>-200.79-212</f>
        <v>-412.78999999999996</v>
      </c>
      <c r="H74" s="43">
        <f>D74+G74</f>
        <v>337.21000000000004</v>
      </c>
    </row>
    <row r="75" spans="1:8" ht="17">
      <c r="A75" s="49" t="s">
        <v>86</v>
      </c>
      <c r="B75" s="50" t="s">
        <v>26</v>
      </c>
      <c r="C75" s="49" t="s">
        <v>164</v>
      </c>
      <c r="D75" s="112">
        <v>1250</v>
      </c>
      <c r="E75" s="111"/>
      <c r="F75" s="51"/>
      <c r="G75" s="52">
        <v>0</v>
      </c>
      <c r="H75" s="43">
        <f>D75+G75</f>
        <v>1250</v>
      </c>
    </row>
    <row r="76" spans="1:8" ht="17">
      <c r="A76" s="204" t="s">
        <v>89</v>
      </c>
      <c r="B76" s="26" t="s">
        <v>90</v>
      </c>
      <c r="C76" s="113"/>
      <c r="D76" s="113"/>
      <c r="E76" s="114"/>
      <c r="F76" s="29">
        <f>E77+E78</f>
        <v>7000</v>
      </c>
      <c r="G76" s="30">
        <f>G77+G78</f>
        <v>-1260.98</v>
      </c>
      <c r="H76" s="59">
        <f>F76+G76</f>
        <v>5739.02</v>
      </c>
    </row>
    <row r="77" spans="1:8" ht="34">
      <c r="A77" s="33" t="s">
        <v>91</v>
      </c>
      <c r="B77" s="33" t="s">
        <v>92</v>
      </c>
      <c r="C77" s="96"/>
      <c r="D77" s="101"/>
      <c r="E77" s="115">
        <v>7000</v>
      </c>
      <c r="F77" s="34"/>
      <c r="G77" s="35">
        <f>-1112.82-113.89-34.27</f>
        <v>-1260.98</v>
      </c>
      <c r="H77" s="36">
        <f>E77+G77</f>
        <v>5739.02</v>
      </c>
    </row>
    <row r="78" spans="1:8" ht="17">
      <c r="A78" s="79" t="s">
        <v>276</v>
      </c>
      <c r="B78" s="79" t="s">
        <v>277</v>
      </c>
      <c r="C78" s="32"/>
      <c r="D78" s="32"/>
      <c r="E78" s="108">
        <v>0</v>
      </c>
      <c r="F78" s="80"/>
      <c r="G78" s="81">
        <v>0</v>
      </c>
      <c r="H78" s="82">
        <f>E78+G78</f>
        <v>0</v>
      </c>
    </row>
    <row r="79" spans="1:8" ht="17">
      <c r="A79" s="204" t="s">
        <v>93</v>
      </c>
      <c r="B79" s="26" t="s">
        <v>94</v>
      </c>
      <c r="C79" s="113"/>
      <c r="D79" s="113"/>
      <c r="E79" s="116"/>
      <c r="F79" s="60">
        <f>E81+E80+E82+E83+E86+E89+E91+E92+E93</f>
        <v>132445.24</v>
      </c>
      <c r="G79" s="30">
        <f>G80+G81+G82+G83+G86+G89+G91+G92+G93</f>
        <v>-22554.539999999997</v>
      </c>
      <c r="H79" s="59">
        <f>F79+G79</f>
        <v>109890.7</v>
      </c>
    </row>
    <row r="80" spans="1:8" ht="17">
      <c r="A80" s="53" t="s">
        <v>87</v>
      </c>
      <c r="B80" s="54" t="s">
        <v>178</v>
      </c>
      <c r="C80" s="53" t="s">
        <v>177</v>
      </c>
      <c r="D80" s="117"/>
      <c r="E80" s="118">
        <f>80000-2220</f>
        <v>77780</v>
      </c>
      <c r="F80" s="55"/>
      <c r="G80" s="56">
        <f>-191.65-126.6-92.28-70-359.7-109.37-63.49-17.93-93.39-250-118.01-175.91-976.1-309.21-38.31-97.09-400-980-23.28-153-93.42-131.25-50.03-39.85-162.91-49.05-134.38-32.58-132.36-178.2-93.63-383.25-142.24-410-196.26-107.37-162-89.04-710-50.16-29.3-461.61-194.08-175-64.51-150-97.2-87.27-344.91-141.31-235.96-42.27-1.22-199.66-125.26-3.01-16.16-14-200.98-25.92-77.93-164.64-164.64-506-164.64-106.22-209.63-338.63-858.93-975.5-545.4-75.9-40.78-675.88-111.14-137.94-165.99-458.89-117.1-565.56-544.76-343.36-198.24-193.32-70.36</f>
        <v>-18414.309999999998</v>
      </c>
      <c r="H80" s="57">
        <f>E80+G80</f>
        <v>59365.69</v>
      </c>
    </row>
    <row r="81" spans="1:8" ht="38.25" customHeight="1">
      <c r="A81" s="33" t="s">
        <v>95</v>
      </c>
      <c r="B81" s="33" t="s">
        <v>94</v>
      </c>
      <c r="C81" s="96" t="s">
        <v>96</v>
      </c>
      <c r="D81" s="101"/>
      <c r="E81" s="95">
        <f>1780+2220</f>
        <v>4000</v>
      </c>
      <c r="F81" s="34"/>
      <c r="G81" s="35">
        <f>-34.79-277.9-44.46-285.65-146.46</f>
        <v>-789.26</v>
      </c>
      <c r="H81" s="36">
        <f>E81+G81</f>
        <v>3210.74</v>
      </c>
    </row>
    <row r="82" spans="1:8" ht="17">
      <c r="A82" s="33" t="s">
        <v>97</v>
      </c>
      <c r="B82" s="33" t="s">
        <v>94</v>
      </c>
      <c r="C82" s="96" t="s">
        <v>98</v>
      </c>
      <c r="D82" s="101"/>
      <c r="E82" s="95">
        <v>4000</v>
      </c>
      <c r="F82" s="34"/>
      <c r="G82" s="35">
        <v>0</v>
      </c>
      <c r="H82" s="36">
        <f>E82+G82</f>
        <v>4000</v>
      </c>
    </row>
    <row r="83" spans="1:8" ht="17">
      <c r="A83" s="33" t="s">
        <v>99</v>
      </c>
      <c r="B83" s="33" t="s">
        <v>94</v>
      </c>
      <c r="C83" s="96" t="s">
        <v>100</v>
      </c>
      <c r="D83" s="119"/>
      <c r="E83" s="120">
        <f>D84+D85</f>
        <v>20977.239999999998</v>
      </c>
      <c r="F83" s="34"/>
      <c r="G83" s="35">
        <v>0</v>
      </c>
      <c r="H83" s="36">
        <f>E83+G83</f>
        <v>20977.239999999998</v>
      </c>
    </row>
    <row r="84" spans="1:8" ht="34">
      <c r="A84" s="20" t="s">
        <v>101</v>
      </c>
      <c r="B84" s="20" t="s">
        <v>94</v>
      </c>
      <c r="C84" s="102" t="s">
        <v>102</v>
      </c>
      <c r="D84" s="121">
        <v>8127.24</v>
      </c>
      <c r="E84" s="103"/>
      <c r="F84" s="41"/>
      <c r="G84" s="42">
        <v>0</v>
      </c>
      <c r="H84" s="43">
        <f>D84+G84</f>
        <v>8127.24</v>
      </c>
    </row>
    <row r="85" spans="1:8" ht="18" customHeight="1">
      <c r="A85" s="20" t="s">
        <v>103</v>
      </c>
      <c r="B85" s="20" t="s">
        <v>94</v>
      </c>
      <c r="C85" s="102" t="s">
        <v>104</v>
      </c>
      <c r="D85" s="104">
        <v>12850</v>
      </c>
      <c r="E85" s="103"/>
      <c r="F85" s="41"/>
      <c r="G85" s="42">
        <v>0</v>
      </c>
      <c r="H85" s="43">
        <f>D85+G85</f>
        <v>12850</v>
      </c>
    </row>
    <row r="86" spans="1:8" ht="17">
      <c r="A86" s="33" t="s">
        <v>105</v>
      </c>
      <c r="B86" s="33" t="s">
        <v>94</v>
      </c>
      <c r="C86" s="96" t="s">
        <v>106</v>
      </c>
      <c r="D86" s="96"/>
      <c r="E86" s="95">
        <f>SUM(D87:D88)</f>
        <v>12188</v>
      </c>
      <c r="F86" s="34"/>
      <c r="G86" s="35">
        <f>SUM(G87:G88)</f>
        <v>0</v>
      </c>
      <c r="H86" s="36">
        <f>E86+G86</f>
        <v>12188</v>
      </c>
    </row>
    <row r="87" spans="1:8" ht="17.25" customHeight="1">
      <c r="A87" s="20" t="s">
        <v>107</v>
      </c>
      <c r="B87" s="20" t="s">
        <v>94</v>
      </c>
      <c r="C87" s="102" t="s">
        <v>108</v>
      </c>
      <c r="D87" s="104">
        <v>5000</v>
      </c>
      <c r="E87" s="103"/>
      <c r="F87" s="41"/>
      <c r="G87" s="42">
        <v>0</v>
      </c>
      <c r="H87" s="43">
        <f>D87+G87</f>
        <v>5000</v>
      </c>
    </row>
    <row r="88" spans="1:8" ht="17">
      <c r="A88" s="20" t="s">
        <v>109</v>
      </c>
      <c r="B88" s="20" t="s">
        <v>94</v>
      </c>
      <c r="C88" s="102" t="s">
        <v>110</v>
      </c>
      <c r="D88" s="104">
        <v>7188</v>
      </c>
      <c r="E88" s="103"/>
      <c r="F88" s="41"/>
      <c r="G88" s="42">
        <v>0</v>
      </c>
      <c r="H88" s="43">
        <f>D88+G88</f>
        <v>7188</v>
      </c>
    </row>
    <row r="89" spans="1:8" ht="17">
      <c r="A89" s="33" t="s">
        <v>111</v>
      </c>
      <c r="B89" s="33" t="s">
        <v>94</v>
      </c>
      <c r="C89" s="96" t="s">
        <v>112</v>
      </c>
      <c r="D89" s="96"/>
      <c r="E89" s="95">
        <f>D90</f>
        <v>500</v>
      </c>
      <c r="F89" s="34"/>
      <c r="G89" s="35">
        <v>0</v>
      </c>
      <c r="H89" s="36">
        <f>E89+G89</f>
        <v>500</v>
      </c>
    </row>
    <row r="90" spans="1:8" ht="17">
      <c r="A90" s="20" t="s">
        <v>113</v>
      </c>
      <c r="B90" s="20" t="s">
        <v>94</v>
      </c>
      <c r="C90" s="102" t="s">
        <v>114</v>
      </c>
      <c r="D90" s="102">
        <v>500</v>
      </c>
      <c r="E90" s="103"/>
      <c r="F90" s="41"/>
      <c r="G90" s="42">
        <v>0</v>
      </c>
      <c r="H90" s="61">
        <f>D90+G90</f>
        <v>500</v>
      </c>
    </row>
    <row r="91" spans="1:8" ht="17">
      <c r="A91" s="33" t="s">
        <v>115</v>
      </c>
      <c r="B91" s="33" t="s">
        <v>94</v>
      </c>
      <c r="C91" s="96" t="s">
        <v>160</v>
      </c>
      <c r="D91" s="96"/>
      <c r="E91" s="115">
        <v>11000</v>
      </c>
      <c r="F91" s="34"/>
      <c r="G91" s="35">
        <f>-400-400-400-400-65-270</f>
        <v>-1935</v>
      </c>
      <c r="H91" s="36">
        <f>E91+G91</f>
        <v>9065</v>
      </c>
    </row>
    <row r="92" spans="1:8" ht="17">
      <c r="A92" s="45" t="s">
        <v>259</v>
      </c>
      <c r="B92" s="45" t="s">
        <v>94</v>
      </c>
      <c r="C92" s="99" t="s">
        <v>261</v>
      </c>
      <c r="D92" s="99"/>
      <c r="E92" s="122">
        <v>1000</v>
      </c>
      <c r="F92" s="58"/>
      <c r="G92" s="70">
        <f>-410.2</f>
        <v>-410.2</v>
      </c>
      <c r="H92" s="71">
        <f>E92+G92</f>
        <v>589.79999999999995</v>
      </c>
    </row>
    <row r="93" spans="1:8" ht="17">
      <c r="A93" s="45" t="s">
        <v>260</v>
      </c>
      <c r="B93" s="45" t="s">
        <v>94</v>
      </c>
      <c r="C93" s="99" t="s">
        <v>262</v>
      </c>
      <c r="D93" s="99"/>
      <c r="E93" s="122">
        <v>1000</v>
      </c>
      <c r="F93" s="58"/>
      <c r="G93" s="70">
        <f>-1005.77</f>
        <v>-1005.77</v>
      </c>
      <c r="H93" s="71">
        <f>E93+G93</f>
        <v>-5.7699999999999818</v>
      </c>
    </row>
    <row r="94" spans="1:8" ht="17">
      <c r="A94" s="204" t="s">
        <v>116</v>
      </c>
      <c r="B94" s="26" t="s">
        <v>40</v>
      </c>
      <c r="C94" s="113"/>
      <c r="D94" s="113"/>
      <c r="E94" s="123"/>
      <c r="F94" s="29">
        <f>E95+E117</f>
        <v>167636.75</v>
      </c>
      <c r="G94" s="30">
        <f>G95+G117</f>
        <v>-69072.740000000005</v>
      </c>
      <c r="H94" s="59">
        <f>F94+G94</f>
        <v>98564.01</v>
      </c>
    </row>
    <row r="95" spans="1:8" ht="17">
      <c r="A95" s="33" t="s">
        <v>35</v>
      </c>
      <c r="B95" s="33" t="s">
        <v>40</v>
      </c>
      <c r="C95" s="96" t="s">
        <v>159</v>
      </c>
      <c r="D95" s="96"/>
      <c r="E95" s="95">
        <f>SUM(D96:D116)</f>
        <v>64616.75</v>
      </c>
      <c r="F95" s="34"/>
      <c r="G95" s="35">
        <f>SUM(G96:G116)</f>
        <v>-26405.47</v>
      </c>
      <c r="H95" s="36">
        <f>E95+G95</f>
        <v>38211.279999999999</v>
      </c>
    </row>
    <row r="96" spans="1:8" ht="34">
      <c r="A96" s="62" t="s">
        <v>266</v>
      </c>
      <c r="B96" s="20" t="s">
        <v>40</v>
      </c>
      <c r="C96" s="102" t="s">
        <v>167</v>
      </c>
      <c r="D96" s="102">
        <v>4500</v>
      </c>
      <c r="E96" s="103"/>
      <c r="F96" s="41"/>
      <c r="G96" s="42">
        <v>0</v>
      </c>
      <c r="H96" s="43">
        <f>D96+G96</f>
        <v>4500</v>
      </c>
    </row>
    <row r="97" spans="1:8" ht="34">
      <c r="A97" s="62" t="s">
        <v>267</v>
      </c>
      <c r="B97" s="20" t="s">
        <v>40</v>
      </c>
      <c r="C97" s="102" t="s">
        <v>168</v>
      </c>
      <c r="D97" s="102">
        <v>500</v>
      </c>
      <c r="E97" s="103"/>
      <c r="F97" s="41"/>
      <c r="G97" s="42">
        <f>-123.2-51.82</f>
        <v>-175.02</v>
      </c>
      <c r="H97" s="43">
        <f>D97+G97</f>
        <v>324.98</v>
      </c>
    </row>
    <row r="98" spans="1:8" ht="17">
      <c r="A98" s="72" t="s">
        <v>186</v>
      </c>
      <c r="B98" s="72" t="s">
        <v>40</v>
      </c>
      <c r="C98" s="44" t="s">
        <v>255</v>
      </c>
      <c r="D98" s="44">
        <v>650</v>
      </c>
      <c r="E98" s="105"/>
      <c r="F98" s="46"/>
      <c r="G98" s="47">
        <f>-79.88</f>
        <v>-79.88</v>
      </c>
      <c r="H98" s="73">
        <f>D98+G98</f>
        <v>570.12</v>
      </c>
    </row>
    <row r="99" spans="1:8" ht="20" customHeight="1">
      <c r="A99" s="20" t="s">
        <v>117</v>
      </c>
      <c r="B99" s="20" t="s">
        <v>40</v>
      </c>
      <c r="C99" s="102" t="s">
        <v>188</v>
      </c>
      <c r="D99" s="104">
        <v>2000</v>
      </c>
      <c r="E99" s="103"/>
      <c r="F99" s="41"/>
      <c r="G99" s="42">
        <v>0</v>
      </c>
      <c r="H99" s="43">
        <f t="shared" ref="H99:H141" si="4">D99+G99</f>
        <v>2000</v>
      </c>
    </row>
    <row r="100" spans="1:8" ht="20" customHeight="1">
      <c r="A100" s="72" t="s">
        <v>226</v>
      </c>
      <c r="B100" s="72" t="s">
        <v>40</v>
      </c>
      <c r="C100" s="44" t="s">
        <v>227</v>
      </c>
      <c r="D100" s="44">
        <v>8000</v>
      </c>
      <c r="E100" s="105"/>
      <c r="F100" s="46"/>
      <c r="G100" s="47">
        <f>-925-3597.99-45-3891.08-18.35</f>
        <v>-8477.42</v>
      </c>
      <c r="H100" s="73">
        <f>D100+G100</f>
        <v>-477.42000000000007</v>
      </c>
    </row>
    <row r="101" spans="1:8" ht="21" customHeight="1">
      <c r="A101" s="40" t="s">
        <v>257</v>
      </c>
      <c r="B101" s="20" t="s">
        <v>40</v>
      </c>
      <c r="C101" s="102" t="s">
        <v>127</v>
      </c>
      <c r="D101" s="104">
        <v>2500</v>
      </c>
      <c r="E101" s="103"/>
      <c r="F101" s="41"/>
      <c r="G101" s="42">
        <f>-700-70-664.92-48.47-727.05</f>
        <v>-2210.44</v>
      </c>
      <c r="H101" s="43">
        <f>D101+G101</f>
        <v>289.55999999999995</v>
      </c>
    </row>
    <row r="102" spans="1:8" ht="20" customHeight="1">
      <c r="A102" s="72" t="s">
        <v>278</v>
      </c>
      <c r="B102" s="72" t="s">
        <v>40</v>
      </c>
      <c r="C102" s="44" t="s">
        <v>238</v>
      </c>
      <c r="D102" s="44">
        <v>3000</v>
      </c>
      <c r="E102" s="105"/>
      <c r="F102" s="46"/>
      <c r="G102" s="47">
        <f>-2022.36</f>
        <v>-2022.36</v>
      </c>
      <c r="H102" s="73">
        <f>D102+G102</f>
        <v>977.6400000000001</v>
      </c>
    </row>
    <row r="103" spans="1:8" ht="17">
      <c r="A103" s="20" t="s">
        <v>118</v>
      </c>
      <c r="B103" s="20" t="s">
        <v>40</v>
      </c>
      <c r="C103" s="102" t="s">
        <v>119</v>
      </c>
      <c r="D103" s="104">
        <v>3000</v>
      </c>
      <c r="E103" s="103"/>
      <c r="F103" s="41"/>
      <c r="G103" s="42">
        <v>0</v>
      </c>
      <c r="H103" s="43">
        <f t="shared" si="4"/>
        <v>3000</v>
      </c>
    </row>
    <row r="104" spans="1:8" ht="17">
      <c r="A104" s="72" t="s">
        <v>228</v>
      </c>
      <c r="B104" s="72" t="s">
        <v>40</v>
      </c>
      <c r="C104" s="44" t="s">
        <v>229</v>
      </c>
      <c r="D104" s="44">
        <v>3000</v>
      </c>
      <c r="E104" s="105"/>
      <c r="F104" s="46"/>
      <c r="G104" s="47">
        <v>0</v>
      </c>
      <c r="H104" s="73">
        <f>D104+G104</f>
        <v>3000</v>
      </c>
    </row>
    <row r="105" spans="1:8" ht="17">
      <c r="A105" s="40" t="s">
        <v>144</v>
      </c>
      <c r="B105" s="20" t="s">
        <v>40</v>
      </c>
      <c r="C105" s="40" t="s">
        <v>280</v>
      </c>
      <c r="D105" s="104">
        <v>3000</v>
      </c>
      <c r="E105" s="103"/>
      <c r="F105" s="41"/>
      <c r="G105" s="42">
        <v>0</v>
      </c>
      <c r="H105" s="43">
        <f>D105+G105</f>
        <v>3000</v>
      </c>
    </row>
    <row r="106" spans="1:8" ht="19" customHeight="1">
      <c r="A106" s="40" t="s">
        <v>128</v>
      </c>
      <c r="B106" s="20" t="s">
        <v>40</v>
      </c>
      <c r="C106" s="102" t="s">
        <v>165</v>
      </c>
      <c r="D106" s="104">
        <v>700</v>
      </c>
      <c r="E106" s="103"/>
      <c r="F106" s="41"/>
      <c r="G106" s="42">
        <f>-116.48-116.48-405</f>
        <v>-637.96</v>
      </c>
      <c r="H106" s="43">
        <f>D106+G106</f>
        <v>62.039999999999964</v>
      </c>
    </row>
    <row r="107" spans="1:8" ht="19" customHeight="1">
      <c r="A107" s="44" t="s">
        <v>230</v>
      </c>
      <c r="B107" s="72" t="s">
        <v>40</v>
      </c>
      <c r="C107" s="44" t="s">
        <v>231</v>
      </c>
      <c r="D107" s="44">
        <v>5116.75</v>
      </c>
      <c r="E107" s="105"/>
      <c r="F107" s="46"/>
      <c r="G107" s="47">
        <f>-7.5-7.5-7.5-475.42-475.42-475.42-2000-560.75-1227.35-200</f>
        <v>-5436.8600000000006</v>
      </c>
      <c r="H107" s="73">
        <f>D107+G107</f>
        <v>-320.11000000000058</v>
      </c>
    </row>
    <row r="108" spans="1:8" ht="17">
      <c r="A108" s="40" t="s">
        <v>120</v>
      </c>
      <c r="B108" s="20" t="s">
        <v>40</v>
      </c>
      <c r="C108" s="102" t="s">
        <v>121</v>
      </c>
      <c r="D108" s="104">
        <v>5300</v>
      </c>
      <c r="E108" s="103"/>
      <c r="F108" s="41"/>
      <c r="G108" s="42">
        <f>-2000</f>
        <v>-2000</v>
      </c>
      <c r="H108" s="43">
        <f t="shared" si="4"/>
        <v>3300</v>
      </c>
    </row>
    <row r="109" spans="1:8" ht="17">
      <c r="A109" s="40" t="s">
        <v>263</v>
      </c>
      <c r="B109" s="20" t="s">
        <v>40</v>
      </c>
      <c r="C109" s="102" t="s">
        <v>166</v>
      </c>
      <c r="D109" s="104">
        <v>4000</v>
      </c>
      <c r="E109" s="103"/>
      <c r="F109" s="41"/>
      <c r="G109" s="42">
        <v>0</v>
      </c>
      <c r="H109" s="43">
        <f>D109+G109</f>
        <v>4000</v>
      </c>
    </row>
    <row r="110" spans="1:8" ht="17">
      <c r="A110" s="44" t="s">
        <v>233</v>
      </c>
      <c r="B110" s="72" t="s">
        <v>40</v>
      </c>
      <c r="C110" s="44" t="s">
        <v>234</v>
      </c>
      <c r="D110" s="44">
        <v>3000</v>
      </c>
      <c r="E110" s="105"/>
      <c r="F110" s="46"/>
      <c r="G110" s="47">
        <v>0</v>
      </c>
      <c r="H110" s="73">
        <f>D110+G110</f>
        <v>3000</v>
      </c>
    </row>
    <row r="111" spans="1:8" ht="34">
      <c r="A111" s="40" t="s">
        <v>122</v>
      </c>
      <c r="B111" s="20" t="s">
        <v>40</v>
      </c>
      <c r="C111" s="102" t="s">
        <v>123</v>
      </c>
      <c r="D111" s="104">
        <v>8100</v>
      </c>
      <c r="E111" s="103"/>
      <c r="F111" s="41"/>
      <c r="G111" s="42">
        <f>-1020.48-255.12</f>
        <v>-1275.5999999999999</v>
      </c>
      <c r="H111" s="43">
        <f t="shared" si="4"/>
        <v>6824.4</v>
      </c>
    </row>
    <row r="112" spans="1:8" ht="34">
      <c r="A112" s="40" t="s">
        <v>235</v>
      </c>
      <c r="B112" s="20" t="s">
        <v>40</v>
      </c>
      <c r="C112" s="102" t="s">
        <v>236</v>
      </c>
      <c r="D112" s="104">
        <v>1000</v>
      </c>
      <c r="E112" s="103"/>
      <c r="F112" s="41"/>
      <c r="G112" s="42">
        <f>-50-50-211.03-24-50</f>
        <v>-385.03</v>
      </c>
      <c r="H112" s="43">
        <f t="shared" si="4"/>
        <v>614.97</v>
      </c>
    </row>
    <row r="113" spans="1:8" ht="17">
      <c r="A113" s="44" t="s">
        <v>179</v>
      </c>
      <c r="B113" s="72" t="s">
        <v>40</v>
      </c>
      <c r="C113" s="44" t="s">
        <v>256</v>
      </c>
      <c r="D113" s="44">
        <v>2500</v>
      </c>
      <c r="E113" s="105"/>
      <c r="F113" s="46"/>
      <c r="G113" s="47">
        <f>-2307.58-176.04</f>
        <v>-2483.62</v>
      </c>
      <c r="H113" s="73">
        <f t="shared" si="4"/>
        <v>16.380000000000109</v>
      </c>
    </row>
    <row r="114" spans="1:8" ht="17">
      <c r="A114" s="44" t="s">
        <v>237</v>
      </c>
      <c r="B114" s="72" t="s">
        <v>40</v>
      </c>
      <c r="C114" s="44" t="s">
        <v>246</v>
      </c>
      <c r="D114" s="44">
        <v>750</v>
      </c>
      <c r="E114" s="105"/>
      <c r="F114" s="46"/>
      <c r="G114" s="47">
        <f>-701.19+0.15</f>
        <v>-701.04000000000008</v>
      </c>
      <c r="H114" s="73">
        <f t="shared" si="4"/>
        <v>48.959999999999923</v>
      </c>
    </row>
    <row r="115" spans="1:8" ht="19" customHeight="1">
      <c r="A115" s="40" t="s">
        <v>124</v>
      </c>
      <c r="B115" s="20" t="s">
        <v>40</v>
      </c>
      <c r="C115" s="102" t="s">
        <v>125</v>
      </c>
      <c r="D115" s="104">
        <v>4000</v>
      </c>
      <c r="E115" s="103"/>
      <c r="F115" s="41"/>
      <c r="G115" s="42">
        <f>-120-120-90-190.24</f>
        <v>-520.24</v>
      </c>
      <c r="H115" s="43">
        <f t="shared" si="4"/>
        <v>3479.76</v>
      </c>
    </row>
    <row r="116" spans="1:8" ht="34.5" customHeight="1">
      <c r="A116" s="40" t="s">
        <v>142</v>
      </c>
      <c r="B116" s="20" t="s">
        <v>40</v>
      </c>
      <c r="C116" s="102" t="s">
        <v>126</v>
      </c>
      <c r="D116" s="104">
        <f>500-500</f>
        <v>0</v>
      </c>
      <c r="E116" s="103"/>
      <c r="F116" s="41"/>
      <c r="G116" s="42">
        <v>0</v>
      </c>
      <c r="H116" s="43">
        <f t="shared" si="4"/>
        <v>0</v>
      </c>
    </row>
    <row r="117" spans="1:8" ht="17">
      <c r="A117" s="33" t="s">
        <v>129</v>
      </c>
      <c r="B117" s="33" t="s">
        <v>40</v>
      </c>
      <c r="C117" s="96"/>
      <c r="D117" s="96"/>
      <c r="E117" s="95">
        <f>SUM(D118:D142)</f>
        <v>103020</v>
      </c>
      <c r="F117" s="34"/>
      <c r="G117" s="35">
        <f>SUM(G118:G142)</f>
        <v>-42667.270000000004</v>
      </c>
      <c r="H117" s="36">
        <f>E117+G117</f>
        <v>60352.729999999996</v>
      </c>
    </row>
    <row r="118" spans="1:8" ht="17">
      <c r="A118" s="20" t="s">
        <v>268</v>
      </c>
      <c r="B118" s="20" t="s">
        <v>40</v>
      </c>
      <c r="C118" s="102" t="s">
        <v>174</v>
      </c>
      <c r="D118" s="102">
        <v>1600</v>
      </c>
      <c r="E118" s="103"/>
      <c r="F118" s="41"/>
      <c r="G118" s="42">
        <v>0</v>
      </c>
      <c r="H118" s="43">
        <f t="shared" ref="H118:H137" si="5">D118+G118</f>
        <v>1600</v>
      </c>
    </row>
    <row r="119" spans="1:8" ht="17">
      <c r="A119" s="72" t="s">
        <v>186</v>
      </c>
      <c r="B119" s="72" t="s">
        <v>40</v>
      </c>
      <c r="C119" s="44" t="s">
        <v>279</v>
      </c>
      <c r="D119" s="44">
        <v>2500</v>
      </c>
      <c r="E119" s="105"/>
      <c r="F119" s="46"/>
      <c r="G119" s="47">
        <f>-534.24-193.96-124.46-154-181.59-271.15-71.55-78.01+37.27-103.58-81.89+1</f>
        <v>-1756.16</v>
      </c>
      <c r="H119" s="73">
        <f t="shared" si="5"/>
        <v>743.83999999999992</v>
      </c>
    </row>
    <row r="120" spans="1:8" ht="17">
      <c r="A120" s="40" t="s">
        <v>264</v>
      </c>
      <c r="B120" s="20" t="s">
        <v>40</v>
      </c>
      <c r="C120" s="40" t="s">
        <v>169</v>
      </c>
      <c r="D120" s="102">
        <v>1500</v>
      </c>
      <c r="E120" s="103"/>
      <c r="F120" s="41"/>
      <c r="G120" s="42">
        <f>-113.24-738.33+250-245.76-24-38.28</f>
        <v>-909.61</v>
      </c>
      <c r="H120" s="43">
        <f t="shared" si="5"/>
        <v>590.39</v>
      </c>
    </row>
    <row r="121" spans="1:8" ht="17">
      <c r="A121" s="40" t="s">
        <v>140</v>
      </c>
      <c r="B121" s="20" t="s">
        <v>40</v>
      </c>
      <c r="C121" s="40" t="s">
        <v>141</v>
      </c>
      <c r="D121" s="104">
        <v>1000</v>
      </c>
      <c r="E121" s="103"/>
      <c r="F121" s="41"/>
      <c r="G121" s="42"/>
      <c r="H121" s="43">
        <f t="shared" si="5"/>
        <v>1000</v>
      </c>
    </row>
    <row r="122" spans="1:8" ht="17">
      <c r="A122" s="44" t="s">
        <v>239</v>
      </c>
      <c r="B122" s="72" t="s">
        <v>40</v>
      </c>
      <c r="C122" s="44" t="s">
        <v>240</v>
      </c>
      <c r="D122" s="44">
        <v>3500</v>
      </c>
      <c r="E122" s="105"/>
      <c r="F122" s="46"/>
      <c r="G122" s="47">
        <f>-2574.63-59.92-41.41-26.6-109.03-76-53.57-65.65-179.33</f>
        <v>-3186.1400000000003</v>
      </c>
      <c r="H122" s="73">
        <f t="shared" si="5"/>
        <v>313.85999999999967</v>
      </c>
    </row>
    <row r="123" spans="1:8" ht="17">
      <c r="A123" s="44" t="s">
        <v>185</v>
      </c>
      <c r="B123" s="72" t="s">
        <v>40</v>
      </c>
      <c r="C123" s="44" t="s">
        <v>247</v>
      </c>
      <c r="D123" s="44">
        <v>3500</v>
      </c>
      <c r="E123" s="105"/>
      <c r="F123" s="46"/>
      <c r="G123" s="47">
        <f>-22.95-76.43-750</f>
        <v>-849.38</v>
      </c>
      <c r="H123" s="73">
        <f t="shared" si="5"/>
        <v>2650.62</v>
      </c>
    </row>
    <row r="124" spans="1:8" ht="17">
      <c r="A124" s="44" t="s">
        <v>228</v>
      </c>
      <c r="B124" s="72" t="s">
        <v>40</v>
      </c>
      <c r="C124" s="44" t="s">
        <v>248</v>
      </c>
      <c r="D124" s="44">
        <v>500</v>
      </c>
      <c r="E124" s="105"/>
      <c r="F124" s="46"/>
      <c r="G124" s="47">
        <f>-45.28</f>
        <v>-45.28</v>
      </c>
      <c r="H124" s="73">
        <f t="shared" si="5"/>
        <v>454.72</v>
      </c>
    </row>
    <row r="125" spans="1:8" ht="17">
      <c r="A125" s="40" t="s">
        <v>136</v>
      </c>
      <c r="B125" s="20" t="s">
        <v>40</v>
      </c>
      <c r="C125" s="40" t="s">
        <v>172</v>
      </c>
      <c r="D125" s="104">
        <v>5000</v>
      </c>
      <c r="E125" s="103"/>
      <c r="F125" s="41"/>
      <c r="G125" s="42">
        <f>-170.96</f>
        <v>-170.96</v>
      </c>
      <c r="H125" s="43">
        <f t="shared" si="5"/>
        <v>4829.04</v>
      </c>
    </row>
    <row r="126" spans="1:8" ht="17">
      <c r="A126" s="40" t="s">
        <v>265</v>
      </c>
      <c r="B126" s="20" t="s">
        <v>40</v>
      </c>
      <c r="C126" s="40" t="s">
        <v>189</v>
      </c>
      <c r="D126" s="104">
        <v>7850</v>
      </c>
      <c r="E126" s="103"/>
      <c r="F126" s="41"/>
      <c r="G126" s="42">
        <f>-61.81-14.34-18.36-74.73-424.16-100-150-738.33-111.69-64.49-250-100-82.35+738.33-122.88-115.84</f>
        <v>-1690.6499999999999</v>
      </c>
      <c r="H126" s="43">
        <f t="shared" si="5"/>
        <v>6159.35</v>
      </c>
    </row>
    <row r="127" spans="1:8" ht="20" customHeight="1">
      <c r="A127" s="40" t="s">
        <v>175</v>
      </c>
      <c r="B127" s="20" t="s">
        <v>40</v>
      </c>
      <c r="C127" s="102" t="s">
        <v>170</v>
      </c>
      <c r="D127" s="104">
        <v>6500</v>
      </c>
      <c r="E127" s="103"/>
      <c r="F127" s="41"/>
      <c r="G127" s="42">
        <f>-333.66-94.06-361.73-501.6-544.76-493.56-20.16-20.71-174.67-78.2-13.8-362.25-78.44</f>
        <v>-3077.6000000000004</v>
      </c>
      <c r="H127" s="43">
        <f t="shared" si="5"/>
        <v>3422.3999999999996</v>
      </c>
    </row>
    <row r="128" spans="1:8" ht="17">
      <c r="A128" s="44" t="s">
        <v>181</v>
      </c>
      <c r="B128" s="72" t="s">
        <v>40</v>
      </c>
      <c r="C128" s="44" t="s">
        <v>241</v>
      </c>
      <c r="D128" s="44">
        <v>500</v>
      </c>
      <c r="E128" s="105"/>
      <c r="F128" s="46"/>
      <c r="G128" s="47">
        <f>-104.12</f>
        <v>-104.12</v>
      </c>
      <c r="H128" s="73">
        <f t="shared" si="5"/>
        <v>395.88</v>
      </c>
    </row>
    <row r="129" spans="1:8" ht="17">
      <c r="A129" s="40" t="s">
        <v>138</v>
      </c>
      <c r="B129" s="20" t="s">
        <v>40</v>
      </c>
      <c r="C129" s="40" t="s">
        <v>139</v>
      </c>
      <c r="D129" s="104">
        <v>3500</v>
      </c>
      <c r="E129" s="103"/>
      <c r="F129" s="41"/>
      <c r="G129" s="42">
        <v>0</v>
      </c>
      <c r="H129" s="43">
        <f t="shared" si="5"/>
        <v>3500</v>
      </c>
    </row>
    <row r="130" spans="1:8" ht="17">
      <c r="A130" s="44" t="s">
        <v>242</v>
      </c>
      <c r="B130" s="72" t="s">
        <v>40</v>
      </c>
      <c r="C130" s="44" t="s">
        <v>243</v>
      </c>
      <c r="D130" s="44">
        <v>4000</v>
      </c>
      <c r="E130" s="105"/>
      <c r="F130" s="46"/>
      <c r="G130" s="47">
        <f>-166.85-39.07-38.71</f>
        <v>-244.63</v>
      </c>
      <c r="H130" s="73">
        <f t="shared" si="5"/>
        <v>3755.37</v>
      </c>
    </row>
    <row r="131" spans="1:8" ht="17">
      <c r="A131" s="40" t="s">
        <v>180</v>
      </c>
      <c r="B131" s="20" t="s">
        <v>40</v>
      </c>
      <c r="C131" s="102" t="s">
        <v>171</v>
      </c>
      <c r="D131" s="104">
        <v>10100</v>
      </c>
      <c r="E131" s="103"/>
      <c r="F131" s="41"/>
      <c r="G131" s="42">
        <v>0</v>
      </c>
      <c r="H131" s="43">
        <f t="shared" si="5"/>
        <v>10100</v>
      </c>
    </row>
    <row r="132" spans="1:8" ht="17">
      <c r="A132" s="44" t="s">
        <v>232</v>
      </c>
      <c r="B132" s="72" t="s">
        <v>40</v>
      </c>
      <c r="C132" s="44" t="s">
        <v>249</v>
      </c>
      <c r="D132" s="44">
        <v>3000</v>
      </c>
      <c r="E132" s="105"/>
      <c r="F132" s="46"/>
      <c r="G132" s="47">
        <f>-36-17.09-290.68-42.85-59.76</f>
        <v>-446.38</v>
      </c>
      <c r="H132" s="73">
        <f t="shared" si="5"/>
        <v>2553.62</v>
      </c>
    </row>
    <row r="133" spans="1:8" ht="17">
      <c r="A133" s="40" t="s">
        <v>132</v>
      </c>
      <c r="B133" s="20" t="s">
        <v>40</v>
      </c>
      <c r="C133" s="40" t="s">
        <v>133</v>
      </c>
      <c r="D133" s="104">
        <v>4000</v>
      </c>
      <c r="E133" s="103"/>
      <c r="F133" s="41"/>
      <c r="G133" s="42">
        <f>-17.28-1071.45-298.87+85.23-72.33-300-253.31-166.86-1330.09-16.37-61.08-173.25</f>
        <v>-3675.66</v>
      </c>
      <c r="H133" s="43">
        <f t="shared" si="5"/>
        <v>324.34000000000015</v>
      </c>
    </row>
    <row r="134" spans="1:8" ht="17">
      <c r="A134" s="40" t="s">
        <v>137</v>
      </c>
      <c r="B134" s="20" t="s">
        <v>40</v>
      </c>
      <c r="C134" s="40" t="s">
        <v>173</v>
      </c>
      <c r="D134" s="104">
        <v>6000</v>
      </c>
      <c r="E134" s="103"/>
      <c r="F134" s="41"/>
      <c r="G134" s="42">
        <f>-295.63</f>
        <v>-295.63</v>
      </c>
      <c r="H134" s="43">
        <f t="shared" si="5"/>
        <v>5704.37</v>
      </c>
    </row>
    <row r="135" spans="1:8" ht="17">
      <c r="A135" s="44" t="s">
        <v>251</v>
      </c>
      <c r="B135" s="72" t="s">
        <v>40</v>
      </c>
      <c r="C135" s="44" t="s">
        <v>252</v>
      </c>
      <c r="D135" s="44">
        <f>9000+2000</f>
        <v>11000</v>
      </c>
      <c r="E135" s="105"/>
      <c r="F135" s="46"/>
      <c r="G135" s="47">
        <f>-1000-500-500-500-3000-2000-215-31.54-23.67-43.2-103.03-7.5-369.2-223.99-72.34-150.85-390-161.28-50.79-29.68-121.85</f>
        <v>-9493.9200000000019</v>
      </c>
      <c r="H135" s="73">
        <f t="shared" si="5"/>
        <v>1506.0799999999981</v>
      </c>
    </row>
    <row r="136" spans="1:8" ht="17">
      <c r="A136" s="72" t="s">
        <v>253</v>
      </c>
      <c r="B136" s="72" t="s">
        <v>40</v>
      </c>
      <c r="C136" s="44" t="s">
        <v>254</v>
      </c>
      <c r="D136" s="44">
        <v>1250</v>
      </c>
      <c r="E136" s="105"/>
      <c r="F136" s="46"/>
      <c r="G136" s="47">
        <v>0</v>
      </c>
      <c r="H136" s="73">
        <f t="shared" si="5"/>
        <v>1250</v>
      </c>
    </row>
    <row r="137" spans="1:8" ht="17">
      <c r="A137" s="72" t="s">
        <v>237</v>
      </c>
      <c r="B137" s="72" t="s">
        <v>40</v>
      </c>
      <c r="C137" s="44" t="s">
        <v>244</v>
      </c>
      <c r="D137" s="44">
        <v>1000</v>
      </c>
      <c r="E137" s="105"/>
      <c r="F137" s="46"/>
      <c r="G137" s="47">
        <f>-174.04</f>
        <v>-174.04</v>
      </c>
      <c r="H137" s="73">
        <f t="shared" si="5"/>
        <v>825.96</v>
      </c>
    </row>
    <row r="138" spans="1:8" ht="17">
      <c r="A138" s="40" t="s">
        <v>130</v>
      </c>
      <c r="B138" s="20" t="s">
        <v>40</v>
      </c>
      <c r="C138" s="40" t="s">
        <v>131</v>
      </c>
      <c r="D138" s="102">
        <v>900</v>
      </c>
      <c r="E138" s="103"/>
      <c r="F138" s="41"/>
      <c r="G138" s="47">
        <f>-967.5</f>
        <v>-967.5</v>
      </c>
      <c r="H138" s="43">
        <f t="shared" si="4"/>
        <v>-67.5</v>
      </c>
    </row>
    <row r="139" spans="1:8" ht="20" customHeight="1">
      <c r="A139" s="40" t="s">
        <v>245</v>
      </c>
      <c r="B139" s="20" t="s">
        <v>40</v>
      </c>
      <c r="C139" s="40" t="s">
        <v>250</v>
      </c>
      <c r="D139" s="104">
        <v>2600</v>
      </c>
      <c r="E139" s="103"/>
      <c r="F139" s="41"/>
      <c r="G139" s="47">
        <f>-228.42-192.6-1182.5</f>
        <v>-1603.52</v>
      </c>
      <c r="H139" s="43">
        <f t="shared" si="4"/>
        <v>996.48</v>
      </c>
    </row>
    <row r="140" spans="1:8" ht="17">
      <c r="A140" s="40" t="s">
        <v>142</v>
      </c>
      <c r="B140" s="20" t="s">
        <v>40</v>
      </c>
      <c r="C140" s="40" t="s">
        <v>143</v>
      </c>
      <c r="D140" s="104">
        <f>4000+500</f>
        <v>4500</v>
      </c>
      <c r="E140" s="103"/>
      <c r="F140" s="41"/>
      <c r="G140" s="47">
        <f>-27.06-121.73-201.53-866-800-102.17</f>
        <v>-2118.4899999999998</v>
      </c>
      <c r="H140" s="43">
        <f>D140+G140</f>
        <v>2381.5100000000002</v>
      </c>
    </row>
    <row r="141" spans="1:8" ht="17">
      <c r="A141" s="40" t="s">
        <v>184</v>
      </c>
      <c r="B141" s="20" t="s">
        <v>40</v>
      </c>
      <c r="C141" s="40" t="s">
        <v>258</v>
      </c>
      <c r="D141" s="104">
        <v>3000</v>
      </c>
      <c r="E141" s="103"/>
      <c r="F141" s="41"/>
      <c r="G141" s="42">
        <f>-120-62-29.29-72.04-117.1-79.2-320.26-378.38-35.89-75.93-104.45-148.29-64.47-62.12-48-48-56-106.5-388.28-491.7</f>
        <v>-2807.8999999999996</v>
      </c>
      <c r="H141" s="43">
        <f t="shared" si="4"/>
        <v>192.10000000000036</v>
      </c>
    </row>
    <row r="142" spans="1:8" ht="17">
      <c r="A142" s="40" t="s">
        <v>134</v>
      </c>
      <c r="B142" s="20" t="s">
        <v>40</v>
      </c>
      <c r="C142" s="40" t="s">
        <v>135</v>
      </c>
      <c r="D142" s="104">
        <v>14220</v>
      </c>
      <c r="E142" s="103"/>
      <c r="F142" s="41"/>
      <c r="G142" s="42">
        <f>-9049.7</f>
        <v>-9049.7000000000007</v>
      </c>
      <c r="H142" s="43">
        <f>D142+G142</f>
        <v>5170.2999999999993</v>
      </c>
    </row>
    <row r="143" spans="1:8" ht="17">
      <c r="A143" s="204" t="s">
        <v>145</v>
      </c>
      <c r="B143" s="26" t="s">
        <v>146</v>
      </c>
      <c r="C143" s="113"/>
      <c r="D143" s="113"/>
      <c r="E143" s="123"/>
      <c r="F143" s="29">
        <f>E144+E145</f>
        <v>10000</v>
      </c>
      <c r="G143" s="30">
        <f>SUM(G144:G145)</f>
        <v>0</v>
      </c>
      <c r="H143" s="59">
        <f>F143+G143</f>
        <v>10000</v>
      </c>
    </row>
    <row r="144" spans="1:8" ht="17">
      <c r="A144" s="20" t="s">
        <v>147</v>
      </c>
      <c r="B144" s="20" t="s">
        <v>146</v>
      </c>
      <c r="C144" s="102" t="s">
        <v>148</v>
      </c>
      <c r="D144" s="102"/>
      <c r="E144" s="124">
        <v>10000</v>
      </c>
      <c r="F144" s="41"/>
      <c r="G144" s="42">
        <v>0</v>
      </c>
      <c r="H144" s="61">
        <f>E144+G144</f>
        <v>10000</v>
      </c>
    </row>
    <row r="145" spans="1:8" ht="17">
      <c r="A145" s="20" t="s">
        <v>149</v>
      </c>
      <c r="B145" s="20" t="s">
        <v>146</v>
      </c>
      <c r="C145" s="102" t="s">
        <v>150</v>
      </c>
      <c r="D145" s="102"/>
      <c r="E145" s="124">
        <v>0</v>
      </c>
      <c r="F145" s="41"/>
      <c r="G145" s="42">
        <v>0</v>
      </c>
      <c r="H145" s="61">
        <f>E145+G145</f>
        <v>0</v>
      </c>
    </row>
    <row r="146" spans="1:8" ht="17">
      <c r="A146" s="204" t="s">
        <v>33</v>
      </c>
      <c r="B146" s="26" t="s">
        <v>151</v>
      </c>
      <c r="C146" s="113"/>
      <c r="D146" s="113"/>
      <c r="E146" s="123"/>
      <c r="F146" s="60">
        <f>SUM(D147:D149)</f>
        <v>269917.18000000005</v>
      </c>
      <c r="G146" s="30">
        <f>SUM(G147:G149)</f>
        <v>-54091.549999999996</v>
      </c>
      <c r="H146" s="59">
        <f>F146+G146</f>
        <v>215825.63000000006</v>
      </c>
    </row>
    <row r="147" spans="1:8" ht="17">
      <c r="A147" s="20" t="s">
        <v>152</v>
      </c>
      <c r="B147" s="20" t="s">
        <v>151</v>
      </c>
      <c r="C147" s="102" t="s">
        <v>153</v>
      </c>
      <c r="D147" s="102">
        <v>500</v>
      </c>
      <c r="E147" s="103" t="s">
        <v>159</v>
      </c>
      <c r="F147" s="41"/>
      <c r="G147" s="42">
        <v>0</v>
      </c>
      <c r="H147" s="43">
        <f>D147+G147</f>
        <v>500</v>
      </c>
    </row>
    <row r="148" spans="1:8" ht="17">
      <c r="A148" s="20" t="s">
        <v>154</v>
      </c>
      <c r="B148" s="20" t="s">
        <v>151</v>
      </c>
      <c r="C148" s="102" t="s">
        <v>190</v>
      </c>
      <c r="D148" s="104">
        <f>15000+18000</f>
        <v>33000</v>
      </c>
      <c r="E148" s="124" t="s">
        <v>159</v>
      </c>
      <c r="F148" s="41"/>
      <c r="G148" s="42">
        <v>0</v>
      </c>
      <c r="H148" s="43">
        <f>D148+G148</f>
        <v>33000</v>
      </c>
    </row>
    <row r="149" spans="1:8" ht="17">
      <c r="A149" s="63" t="s">
        <v>176</v>
      </c>
      <c r="B149" s="20" t="s">
        <v>151</v>
      </c>
      <c r="C149" s="102" t="s">
        <v>88</v>
      </c>
      <c r="D149" s="121">
        <f>62355.01-7040-1500+163002.17+14100+5900-400</f>
        <v>236417.18000000002</v>
      </c>
      <c r="E149" s="125"/>
      <c r="F149" s="41"/>
      <c r="G149" s="42">
        <f>-433.37-467.04-1575-7.5-7.5-11-566.2-566.2-642.66-566.2-102.15-1952.08-3217.28-3518.9-16.16-3000-36.84-306-7672.5-94-48-34-34-387.56-300-286.44-26-2793.6-2596-66.07-990-65.97-221.08-75-5107.13-353.5-215.04-7095-203.72-135.34-31.5-206.98-83.44-288-12-4550-73.59-17.84-501.13-760.78-825.8+1318.13-4703.93-1947.32-1003.1-2300-863.03-232.68-234.32-43.64-124.14-37.25-107.54+11819.94-329.98-48.01-144.03-257.5-16.96-213.1-1480</f>
        <v>-54091.549999999996</v>
      </c>
      <c r="H149" s="43">
        <f>D149+G149</f>
        <v>182325.63000000003</v>
      </c>
    </row>
    <row r="150" spans="1:8" ht="17" customHeight="1">
      <c r="A150" s="126" t="s">
        <v>282</v>
      </c>
      <c r="B150" s="127"/>
      <c r="C150" s="131"/>
      <c r="D150" s="102">
        <v>0</v>
      </c>
      <c r="E150" s="127"/>
      <c r="F150" s="127"/>
      <c r="G150" s="42">
        <v>0</v>
      </c>
      <c r="H150" s="128"/>
    </row>
    <row r="151" spans="1:8" ht="17">
      <c r="A151" s="64"/>
      <c r="B151" s="64"/>
      <c r="C151" s="132"/>
      <c r="D151" s="65"/>
      <c r="E151" s="66"/>
      <c r="F151" s="67">
        <f>F146+F143+F94+F79+F76+F15+F12</f>
        <v>827149.17</v>
      </c>
      <c r="G151" s="68">
        <f>G146+G143+G94+G79+G76+G15+G12</f>
        <v>-244020.03000000003</v>
      </c>
      <c r="H151" s="69">
        <f>H146+H143+H94+H79+H76+H15+H12</f>
        <v>583129.14000000013</v>
      </c>
    </row>
    <row r="152" spans="1:8" ht="14">
      <c r="A152" s="4"/>
      <c r="B152" s="4"/>
      <c r="C152" s="133"/>
      <c r="D152" s="5"/>
      <c r="E152" s="4"/>
      <c r="F152" s="4"/>
      <c r="G152" s="1"/>
      <c r="H152" s="1"/>
    </row>
    <row r="153" spans="1:8" ht="15">
      <c r="A153" s="4"/>
      <c r="B153" s="144" t="s">
        <v>288</v>
      </c>
      <c r="C153" s="145"/>
      <c r="D153" s="7"/>
      <c r="E153" s="4"/>
      <c r="G153" s="136"/>
      <c r="H153" s="136"/>
    </row>
    <row r="154" spans="1:8" ht="14">
      <c r="A154" s="4"/>
      <c r="B154" s="146"/>
      <c r="C154" s="147"/>
      <c r="D154" s="7"/>
      <c r="E154" s="140"/>
      <c r="F154" s="141"/>
      <c r="G154" s="2"/>
      <c r="H154" s="137"/>
    </row>
    <row r="155" spans="1:8" ht="36">
      <c r="A155" s="4"/>
      <c r="B155" s="146" t="s">
        <v>290</v>
      </c>
      <c r="C155" s="147">
        <f>266050.52</f>
        <v>266050.52</v>
      </c>
      <c r="D155" s="7"/>
      <c r="E155" s="140"/>
      <c r="F155" s="141"/>
      <c r="G155" s="3"/>
      <c r="H155" s="137"/>
    </row>
    <row r="156" spans="1:8" ht="27" customHeight="1">
      <c r="A156" s="4"/>
      <c r="B156" s="146" t="s">
        <v>289</v>
      </c>
      <c r="C156" s="147">
        <v>90000</v>
      </c>
      <c r="D156" s="7"/>
      <c r="E156" s="140"/>
      <c r="F156" s="141"/>
      <c r="G156" s="3"/>
      <c r="H156" s="137"/>
    </row>
    <row r="157" spans="1:8" ht="27" customHeight="1">
      <c r="A157" s="4"/>
      <c r="B157" s="146" t="s">
        <v>284</v>
      </c>
      <c r="C157" s="147">
        <f>C155-C156</f>
        <v>176050.52000000002</v>
      </c>
      <c r="D157" s="7"/>
      <c r="E157" s="140"/>
      <c r="F157" s="141"/>
      <c r="G157" s="3"/>
      <c r="H157" s="138"/>
    </row>
    <row r="158" spans="1:8" ht="24">
      <c r="A158" s="4"/>
      <c r="B158" s="146" t="s">
        <v>283</v>
      </c>
      <c r="C158" s="147">
        <f>-1250-95-85-121.14-551.25-1013.85-50-400-1000-200-200-375-375-375-80-550-300-150-700-150-200-150-100-150-350-100-200-260-245-340.8-48.38-343.98-405.75-11.17-56.02-80.16-8.63-9.79-116.85-576.24-300+1.64+4-979.96</f>
        <v>-13048.329999999998</v>
      </c>
      <c r="D158" s="7"/>
      <c r="E158" s="140"/>
      <c r="F158" s="141"/>
      <c r="G158" s="3"/>
      <c r="H158" s="137"/>
    </row>
    <row r="159" spans="1:8" ht="24">
      <c r="A159" s="4"/>
      <c r="B159" s="148" t="s">
        <v>285</v>
      </c>
      <c r="C159" s="149">
        <f>C157+C158-163002.19</f>
        <v>0</v>
      </c>
      <c r="D159" s="143" t="s">
        <v>159</v>
      </c>
      <c r="E159" s="140"/>
      <c r="F159" s="142"/>
      <c r="G159" s="2"/>
      <c r="H159" s="137"/>
    </row>
    <row r="160" spans="1:8" ht="24">
      <c r="A160" s="4"/>
      <c r="B160" s="146" t="s">
        <v>286</v>
      </c>
      <c r="C160" s="147">
        <v>206471</v>
      </c>
      <c r="D160" s="7"/>
      <c r="E160" s="140"/>
      <c r="F160" s="141"/>
      <c r="G160" s="2"/>
      <c r="H160" s="137"/>
    </row>
    <row r="161" spans="1:8" ht="24">
      <c r="A161" s="4"/>
      <c r="B161" s="146" t="s">
        <v>291</v>
      </c>
      <c r="C161" s="147">
        <f>G151</f>
        <v>-244020.03000000003</v>
      </c>
      <c r="D161" s="7"/>
      <c r="E161" s="140"/>
      <c r="F161" s="138"/>
      <c r="G161" s="3"/>
      <c r="H161" s="139"/>
    </row>
    <row r="162" spans="1:8" ht="24">
      <c r="A162" s="4"/>
      <c r="B162" s="146" t="s">
        <v>287</v>
      </c>
      <c r="C162" s="147">
        <v>-50001.94</v>
      </c>
      <c r="D162" s="7"/>
      <c r="E162" s="140"/>
      <c r="F162" s="138"/>
      <c r="G162" s="3"/>
      <c r="H162" s="139"/>
    </row>
    <row r="163" spans="1:8" ht="26" customHeight="1">
      <c r="A163" s="4"/>
      <c r="B163" s="150" t="s">
        <v>292</v>
      </c>
      <c r="C163" s="151">
        <f>C155+C158+C160+C161+C162</f>
        <v>165451.22000000003</v>
      </c>
      <c r="D163" s="7"/>
      <c r="E163" s="140"/>
      <c r="F163" s="140"/>
      <c r="G163" s="1"/>
      <c r="H163" s="1"/>
    </row>
    <row r="164" spans="1:8" ht="14">
      <c r="A164" s="4"/>
      <c r="B164" s="6"/>
      <c r="C164" s="134"/>
      <c r="D164" s="7"/>
      <c r="E164" s="4"/>
      <c r="F164" s="9"/>
      <c r="G164" s="10"/>
      <c r="H164" s="1"/>
    </row>
    <row r="165" spans="1:8" ht="14">
      <c r="A165" s="4"/>
      <c r="B165" s="4"/>
      <c r="C165" s="133"/>
      <c r="D165" s="4"/>
      <c r="E165" s="4"/>
      <c r="F165" s="4"/>
      <c r="G165" s="1"/>
      <c r="H165" s="1"/>
    </row>
    <row r="166" spans="1:8" ht="14">
      <c r="A166" s="4"/>
      <c r="B166" s="4"/>
      <c r="C166" s="133"/>
      <c r="D166" s="4"/>
      <c r="E166" s="4"/>
      <c r="F166" s="4"/>
      <c r="G166" s="1"/>
      <c r="H166" s="1"/>
    </row>
    <row r="167" spans="1:8" ht="14">
      <c r="A167" s="4"/>
      <c r="B167" s="4"/>
      <c r="C167" s="133"/>
      <c r="D167" s="4"/>
      <c r="E167" s="4"/>
      <c r="F167" s="4"/>
      <c r="G167" s="1"/>
      <c r="H167" s="1"/>
    </row>
  </sheetData>
  <mergeCells count="1">
    <mergeCell ref="A1:F1"/>
  </mergeCells>
  <phoneticPr fontId="11" type="noConversion"/>
  <pageMargins left="0.56222222222222218" right="0.75" top="0.5" bottom="1" header="0.5" footer="0.5"/>
  <pageSetup scale="44" fitToHeight="3" orientation="portrait" horizontalDpi="4294967292" verticalDpi="4294967292"/>
  <legacyDrawing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6"/>
  <sheetViews>
    <sheetView workbookViewId="0">
      <selection sqref="A1:I2"/>
    </sheetView>
  </sheetViews>
  <sheetFormatPr baseColWidth="10" defaultRowHeight="12" x14ac:dyDescent="0"/>
  <cols>
    <col min="2" max="2" width="12.5" bestFit="1" customWidth="1"/>
    <col min="3" max="3" width="51.5" customWidth="1"/>
    <col min="4" max="4" width="40.6640625" bestFit="1" customWidth="1"/>
    <col min="5" max="5" width="18" bestFit="1" customWidth="1"/>
    <col min="6" max="6" width="23" bestFit="1" customWidth="1"/>
    <col min="7" max="7" width="18.33203125" bestFit="1" customWidth="1"/>
    <col min="9" max="9" width="17" customWidth="1"/>
  </cols>
  <sheetData>
    <row r="1" spans="1:9">
      <c r="A1" s="209" t="s">
        <v>533</v>
      </c>
      <c r="B1" s="210"/>
      <c r="C1" s="210"/>
      <c r="D1" s="210"/>
      <c r="E1" s="210"/>
      <c r="F1" s="210"/>
      <c r="G1" s="210"/>
      <c r="H1" s="210"/>
      <c r="I1" s="211"/>
    </row>
    <row r="2" spans="1:9">
      <c r="A2" s="212"/>
      <c r="B2" s="212"/>
      <c r="C2" s="212"/>
      <c r="D2" s="212"/>
      <c r="E2" s="212"/>
      <c r="F2" s="212"/>
      <c r="G2" s="212"/>
      <c r="H2" s="212"/>
      <c r="I2" s="213"/>
    </row>
    <row r="3" spans="1:9" ht="18">
      <c r="A3" s="152" t="s">
        <v>293</v>
      </c>
      <c r="B3" s="152" t="s">
        <v>294</v>
      </c>
      <c r="C3" s="153" t="s">
        <v>295</v>
      </c>
      <c r="D3" s="153" t="s">
        <v>296</v>
      </c>
      <c r="E3" s="154" t="s">
        <v>297</v>
      </c>
      <c r="F3" s="155" t="s">
        <v>298</v>
      </c>
      <c r="G3" s="156" t="s">
        <v>299</v>
      </c>
      <c r="H3" s="155" t="s">
        <v>300</v>
      </c>
      <c r="I3" s="157" t="s">
        <v>301</v>
      </c>
    </row>
    <row r="4" spans="1:9" ht="18">
      <c r="A4" s="158" t="s">
        <v>305</v>
      </c>
      <c r="B4" s="159">
        <v>41887</v>
      </c>
      <c r="C4" s="160" t="s">
        <v>302</v>
      </c>
      <c r="D4" s="161" t="s">
        <v>181</v>
      </c>
      <c r="E4" s="162">
        <v>41893</v>
      </c>
      <c r="F4" s="163">
        <v>200</v>
      </c>
      <c r="G4" s="164">
        <f>-191.65</f>
        <v>-191.65</v>
      </c>
      <c r="H4" s="163"/>
      <c r="I4" s="165">
        <f>F4+G4</f>
        <v>8.3499999999999943</v>
      </c>
    </row>
    <row r="5" spans="1:9" ht="18">
      <c r="A5" s="158" t="s">
        <v>306</v>
      </c>
      <c r="B5" s="166">
        <v>41887</v>
      </c>
      <c r="C5" s="167" t="s">
        <v>307</v>
      </c>
      <c r="D5" s="167" t="s">
        <v>308</v>
      </c>
      <c r="E5" s="168">
        <v>41903</v>
      </c>
      <c r="F5" s="169">
        <v>488</v>
      </c>
      <c r="G5" s="164">
        <f>-92.28-70-309.21</f>
        <v>-471.49</v>
      </c>
      <c r="H5" s="163"/>
      <c r="I5" s="165">
        <f>F5+G5</f>
        <v>16.509999999999991</v>
      </c>
    </row>
    <row r="6" spans="1:9" ht="18">
      <c r="A6" s="170" t="s">
        <v>324</v>
      </c>
      <c r="B6" s="171">
        <v>41895</v>
      </c>
      <c r="C6" s="172" t="s">
        <v>325</v>
      </c>
      <c r="D6" s="172" t="s">
        <v>326</v>
      </c>
      <c r="E6" s="173">
        <v>41922</v>
      </c>
      <c r="F6" s="174">
        <v>400</v>
      </c>
      <c r="G6" s="164">
        <f>-250-38.31-97.09</f>
        <v>-385.4</v>
      </c>
      <c r="H6" s="163"/>
      <c r="I6" s="165">
        <f t="shared" ref="I6:I72" si="0">F6+G6</f>
        <v>14.600000000000023</v>
      </c>
    </row>
    <row r="7" spans="1:9" ht="18">
      <c r="A7" s="170" t="s">
        <v>327</v>
      </c>
      <c r="B7" s="171">
        <v>41901</v>
      </c>
      <c r="C7" s="172" t="s">
        <v>328</v>
      </c>
      <c r="D7" s="172" t="s">
        <v>181</v>
      </c>
      <c r="E7" s="173">
        <v>41904</v>
      </c>
      <c r="F7" s="174">
        <v>200</v>
      </c>
      <c r="G7" s="164">
        <f>-126.6</f>
        <v>-126.6</v>
      </c>
      <c r="H7" s="163"/>
      <c r="I7" s="165">
        <f t="shared" si="0"/>
        <v>73.400000000000006</v>
      </c>
    </row>
    <row r="8" spans="1:9" ht="18">
      <c r="A8" s="170" t="s">
        <v>329</v>
      </c>
      <c r="B8" s="171">
        <v>41901</v>
      </c>
      <c r="C8" s="172" t="s">
        <v>330</v>
      </c>
      <c r="D8" s="172" t="s">
        <v>181</v>
      </c>
      <c r="E8" s="173">
        <v>41920</v>
      </c>
      <c r="F8" s="174">
        <v>375</v>
      </c>
      <c r="G8" s="164"/>
      <c r="H8" s="163"/>
      <c r="I8" s="165">
        <f t="shared" si="0"/>
        <v>375</v>
      </c>
    </row>
    <row r="9" spans="1:9" ht="18">
      <c r="A9" s="170" t="s">
        <v>398</v>
      </c>
      <c r="B9" s="171">
        <v>41901</v>
      </c>
      <c r="C9" s="172" t="s">
        <v>399</v>
      </c>
      <c r="D9" s="172" t="s">
        <v>399</v>
      </c>
      <c r="E9" s="173"/>
      <c r="F9" s="174">
        <v>940</v>
      </c>
      <c r="G9" s="164"/>
      <c r="H9" s="163"/>
      <c r="I9" s="165">
        <f t="shared" si="0"/>
        <v>940</v>
      </c>
    </row>
    <row r="10" spans="1:9" ht="18">
      <c r="A10" s="158" t="s">
        <v>331</v>
      </c>
      <c r="B10" s="159">
        <v>41901</v>
      </c>
      <c r="C10" s="161" t="s">
        <v>332</v>
      </c>
      <c r="D10" s="161" t="s">
        <v>333</v>
      </c>
      <c r="E10" s="162">
        <v>41919</v>
      </c>
      <c r="F10" s="163">
        <v>487</v>
      </c>
      <c r="G10" s="164">
        <f>-359.7-109.37-57+39.07</f>
        <v>-486.99999999999994</v>
      </c>
      <c r="H10" s="163"/>
      <c r="I10" s="165">
        <f t="shared" si="0"/>
        <v>0</v>
      </c>
    </row>
    <row r="11" spans="1:9" ht="18">
      <c r="A11" s="158" t="s">
        <v>334</v>
      </c>
      <c r="B11" s="159">
        <v>41901</v>
      </c>
      <c r="C11" s="161" t="s">
        <v>335</v>
      </c>
      <c r="D11" s="161" t="s">
        <v>336</v>
      </c>
      <c r="E11" s="162">
        <v>41923</v>
      </c>
      <c r="F11" s="163">
        <v>93</v>
      </c>
      <c r="G11" s="164">
        <f>-63.49</f>
        <v>-63.49</v>
      </c>
      <c r="H11" s="163"/>
      <c r="I11" s="165">
        <f t="shared" si="0"/>
        <v>29.509999999999998</v>
      </c>
    </row>
    <row r="12" spans="1:9" ht="18">
      <c r="A12" s="158" t="s">
        <v>345</v>
      </c>
      <c r="B12" s="159">
        <v>41908</v>
      </c>
      <c r="C12" s="161" t="s">
        <v>346</v>
      </c>
      <c r="D12" s="161" t="s">
        <v>347</v>
      </c>
      <c r="E12" s="162">
        <v>41938</v>
      </c>
      <c r="F12" s="163">
        <v>980</v>
      </c>
      <c r="G12" s="164">
        <v>-980</v>
      </c>
      <c r="H12" s="163"/>
      <c r="I12" s="165">
        <f t="shared" si="0"/>
        <v>0</v>
      </c>
    </row>
    <row r="13" spans="1:9" ht="18">
      <c r="A13" s="158" t="s">
        <v>348</v>
      </c>
      <c r="B13" s="159">
        <v>41908</v>
      </c>
      <c r="C13" s="161" t="s">
        <v>349</v>
      </c>
      <c r="D13" s="161" t="s">
        <v>336</v>
      </c>
      <c r="E13" s="162">
        <v>41931</v>
      </c>
      <c r="F13" s="163">
        <v>179</v>
      </c>
      <c r="G13" s="164">
        <f>-93.39-23.28</f>
        <v>-116.67</v>
      </c>
      <c r="H13" s="163"/>
      <c r="I13" s="165">
        <f t="shared" si="0"/>
        <v>62.33</v>
      </c>
    </row>
    <row r="14" spans="1:9" ht="18">
      <c r="A14" s="158" t="s">
        <v>354</v>
      </c>
      <c r="B14" s="159">
        <v>41915</v>
      </c>
      <c r="C14" s="161" t="s">
        <v>355</v>
      </c>
      <c r="D14" s="161" t="s">
        <v>184</v>
      </c>
      <c r="E14" s="162">
        <v>41930</v>
      </c>
      <c r="F14" s="163">
        <v>1750</v>
      </c>
      <c r="G14" s="164">
        <f>-344.91-675.88-458.89</f>
        <v>-1479.6799999999998</v>
      </c>
      <c r="H14" s="163"/>
      <c r="I14" s="165">
        <f t="shared" si="0"/>
        <v>270.32000000000016</v>
      </c>
    </row>
    <row r="15" spans="1:9" ht="18">
      <c r="A15" s="158" t="s">
        <v>356</v>
      </c>
      <c r="B15" s="159">
        <v>41915</v>
      </c>
      <c r="C15" s="161" t="s">
        <v>357</v>
      </c>
      <c r="D15" s="161" t="s">
        <v>358</v>
      </c>
      <c r="E15" s="162">
        <v>41943</v>
      </c>
      <c r="F15" s="163">
        <v>2317</v>
      </c>
      <c r="G15" s="164">
        <f>-175.91-131.25-162.91-39.85-50.03-32.58-132.36-410-106.22</f>
        <v>-1241.1099999999999</v>
      </c>
      <c r="H15" s="163"/>
      <c r="I15" s="165">
        <f t="shared" si="0"/>
        <v>1075.8900000000001</v>
      </c>
    </row>
    <row r="16" spans="1:9" ht="18">
      <c r="A16" s="158" t="s">
        <v>366</v>
      </c>
      <c r="B16" s="159">
        <v>41922</v>
      </c>
      <c r="C16" s="161" t="s">
        <v>367</v>
      </c>
      <c r="D16" s="161" t="s">
        <v>368</v>
      </c>
      <c r="E16" s="162">
        <v>41932</v>
      </c>
      <c r="F16" s="163">
        <v>639</v>
      </c>
      <c r="G16" s="164">
        <f>-118.01</f>
        <v>-118.01</v>
      </c>
      <c r="H16" s="163"/>
      <c r="I16" s="165">
        <f t="shared" si="0"/>
        <v>520.99</v>
      </c>
    </row>
    <row r="17" spans="1:9" ht="18">
      <c r="A17" s="158" t="s">
        <v>360</v>
      </c>
      <c r="B17" s="159">
        <v>41915</v>
      </c>
      <c r="C17" s="161" t="s">
        <v>359</v>
      </c>
      <c r="D17" s="161" t="s">
        <v>142</v>
      </c>
      <c r="E17" s="162">
        <v>41937</v>
      </c>
      <c r="F17" s="163">
        <v>1650</v>
      </c>
      <c r="G17" s="164">
        <f>-383.25</f>
        <v>-383.25</v>
      </c>
      <c r="H17" s="163"/>
      <c r="I17" s="165">
        <f t="shared" si="0"/>
        <v>1266.75</v>
      </c>
    </row>
    <row r="18" spans="1:9" ht="18">
      <c r="A18" s="158" t="s">
        <v>361</v>
      </c>
      <c r="B18" s="159">
        <v>41915</v>
      </c>
      <c r="C18" s="161" t="s">
        <v>362</v>
      </c>
      <c r="D18" s="161" t="s">
        <v>363</v>
      </c>
      <c r="E18" s="162">
        <v>41949</v>
      </c>
      <c r="F18" s="163">
        <v>1200</v>
      </c>
      <c r="G18" s="164"/>
      <c r="H18" s="163"/>
      <c r="I18" s="165">
        <f t="shared" si="0"/>
        <v>1200</v>
      </c>
    </row>
    <row r="19" spans="1:9" ht="18">
      <c r="A19" s="158" t="s">
        <v>364</v>
      </c>
      <c r="B19" s="159">
        <v>41915</v>
      </c>
      <c r="C19" s="161" t="s">
        <v>365</v>
      </c>
      <c r="D19" s="161" t="s">
        <v>326</v>
      </c>
      <c r="E19" s="162">
        <v>41937</v>
      </c>
      <c r="F19" s="163">
        <v>1384</v>
      </c>
      <c r="G19" s="164">
        <f>-976.1</f>
        <v>-976.1</v>
      </c>
      <c r="H19" s="163"/>
      <c r="I19" s="165">
        <f t="shared" si="0"/>
        <v>407.9</v>
      </c>
    </row>
    <row r="20" spans="1:9" ht="18">
      <c r="A20" s="158" t="s">
        <v>369</v>
      </c>
      <c r="B20" s="159">
        <v>41922</v>
      </c>
      <c r="C20" s="161" t="s">
        <v>370</v>
      </c>
      <c r="D20" s="161" t="s">
        <v>371</v>
      </c>
      <c r="E20" s="162">
        <v>41937</v>
      </c>
      <c r="F20" s="163">
        <v>900</v>
      </c>
      <c r="G20" s="164"/>
      <c r="H20" s="163"/>
      <c r="I20" s="165">
        <f t="shared" si="0"/>
        <v>900</v>
      </c>
    </row>
    <row r="21" spans="1:9" ht="18">
      <c r="A21" s="158" t="s">
        <v>372</v>
      </c>
      <c r="B21" s="159">
        <v>41922</v>
      </c>
      <c r="C21" s="161" t="s">
        <v>373</v>
      </c>
      <c r="D21" s="161" t="s">
        <v>347</v>
      </c>
      <c r="E21" s="162">
        <v>41950</v>
      </c>
      <c r="F21" s="163">
        <v>400</v>
      </c>
      <c r="G21" s="164">
        <v>-400</v>
      </c>
      <c r="H21" s="163"/>
      <c r="I21" s="165">
        <f t="shared" si="0"/>
        <v>0</v>
      </c>
    </row>
    <row r="22" spans="1:9" ht="18">
      <c r="A22" s="158" t="s">
        <v>379</v>
      </c>
      <c r="B22" s="159">
        <v>41922</v>
      </c>
      <c r="C22" s="161" t="s">
        <v>374</v>
      </c>
      <c r="D22" s="161" t="s">
        <v>375</v>
      </c>
      <c r="E22" s="162">
        <v>41927</v>
      </c>
      <c r="F22" s="163">
        <v>451</v>
      </c>
      <c r="G22" s="164"/>
      <c r="H22" s="163"/>
      <c r="I22" s="165">
        <f t="shared" si="0"/>
        <v>451</v>
      </c>
    </row>
    <row r="23" spans="1:9" ht="18">
      <c r="A23" s="158" t="s">
        <v>380</v>
      </c>
      <c r="B23" s="159">
        <v>41929</v>
      </c>
      <c r="C23" s="161" t="s">
        <v>381</v>
      </c>
      <c r="D23" s="161" t="s">
        <v>382</v>
      </c>
      <c r="E23" s="162">
        <v>41937</v>
      </c>
      <c r="F23" s="163">
        <v>200</v>
      </c>
      <c r="G23" s="164"/>
      <c r="H23" s="163"/>
      <c r="I23" s="165">
        <f t="shared" si="0"/>
        <v>200</v>
      </c>
    </row>
    <row r="24" spans="1:9" ht="18">
      <c r="A24" s="158" t="s">
        <v>383</v>
      </c>
      <c r="B24" s="159">
        <v>41929</v>
      </c>
      <c r="C24" s="161" t="s">
        <v>458</v>
      </c>
      <c r="D24" s="161" t="s">
        <v>385</v>
      </c>
      <c r="E24" s="162">
        <v>41965</v>
      </c>
      <c r="F24" s="163">
        <v>468.26</v>
      </c>
      <c r="G24" s="164">
        <f>-199.66-125.26</f>
        <v>-324.92</v>
      </c>
      <c r="H24" s="163"/>
      <c r="I24" s="165">
        <f t="shared" si="0"/>
        <v>143.33999999999997</v>
      </c>
    </row>
    <row r="25" spans="1:9" ht="18">
      <c r="A25" s="158" t="s">
        <v>386</v>
      </c>
      <c r="B25" s="159">
        <v>41929</v>
      </c>
      <c r="C25" s="161" t="s">
        <v>387</v>
      </c>
      <c r="D25" s="161" t="s">
        <v>388</v>
      </c>
      <c r="E25" s="162">
        <v>41947</v>
      </c>
      <c r="F25" s="163">
        <v>843.08</v>
      </c>
      <c r="G25" s="164">
        <f>-153-49.05-134.38-42.27-1.22</f>
        <v>-379.92</v>
      </c>
      <c r="H25" s="163"/>
      <c r="I25" s="165">
        <f t="shared" si="0"/>
        <v>463.16</v>
      </c>
    </row>
    <row r="26" spans="1:9" ht="18">
      <c r="A26" s="158" t="s">
        <v>393</v>
      </c>
      <c r="B26" s="159">
        <v>41929</v>
      </c>
      <c r="C26" s="161" t="s">
        <v>394</v>
      </c>
      <c r="D26" s="161" t="s">
        <v>395</v>
      </c>
      <c r="E26" s="162">
        <v>41936</v>
      </c>
      <c r="F26" s="163">
        <v>341</v>
      </c>
      <c r="G26" s="164"/>
      <c r="H26" s="163"/>
      <c r="I26" s="165">
        <f t="shared" si="0"/>
        <v>341</v>
      </c>
    </row>
    <row r="27" spans="1:9" ht="18">
      <c r="A27" s="158" t="s">
        <v>400</v>
      </c>
      <c r="B27" s="159">
        <v>41936</v>
      </c>
      <c r="C27" s="161" t="s">
        <v>401</v>
      </c>
      <c r="D27" s="161" t="s">
        <v>402</v>
      </c>
      <c r="E27" s="162">
        <v>41951</v>
      </c>
      <c r="F27" s="163">
        <v>188</v>
      </c>
      <c r="G27" s="164">
        <f>-93.42-93.63</f>
        <v>-187.05</v>
      </c>
      <c r="H27" s="163"/>
      <c r="I27" s="165">
        <f t="shared" si="0"/>
        <v>0.94999999999998863</v>
      </c>
    </row>
    <row r="28" spans="1:9" ht="18">
      <c r="A28" s="158" t="s">
        <v>396</v>
      </c>
      <c r="B28" s="159">
        <v>41936</v>
      </c>
      <c r="C28" s="161" t="s">
        <v>397</v>
      </c>
      <c r="D28" s="161" t="s">
        <v>317</v>
      </c>
      <c r="E28" s="162">
        <v>41950</v>
      </c>
      <c r="F28" s="163">
        <v>175</v>
      </c>
      <c r="G28" s="164">
        <f>-178.2</f>
        <v>-178.2</v>
      </c>
      <c r="H28" s="163"/>
      <c r="I28" s="165">
        <f t="shared" si="0"/>
        <v>-3.1999999999999886</v>
      </c>
    </row>
    <row r="29" spans="1:9" ht="18">
      <c r="A29" s="158" t="s">
        <v>403</v>
      </c>
      <c r="B29" s="159">
        <v>41936</v>
      </c>
      <c r="C29" s="161" t="s">
        <v>404</v>
      </c>
      <c r="D29" s="161" t="s">
        <v>402</v>
      </c>
      <c r="E29" s="162">
        <v>41964</v>
      </c>
      <c r="F29" s="163">
        <v>527</v>
      </c>
      <c r="G29" s="164">
        <f>-196.26-107.37-162</f>
        <v>-465.63</v>
      </c>
      <c r="H29" s="163"/>
      <c r="I29" s="165">
        <f t="shared" si="0"/>
        <v>61.370000000000005</v>
      </c>
    </row>
    <row r="30" spans="1:9" ht="18">
      <c r="A30" s="158" t="s">
        <v>410</v>
      </c>
      <c r="B30" s="159">
        <v>41950</v>
      </c>
      <c r="C30" s="161" t="s">
        <v>411</v>
      </c>
      <c r="D30" s="161" t="s">
        <v>412</v>
      </c>
      <c r="E30" s="162">
        <v>41965</v>
      </c>
      <c r="F30" s="163">
        <v>1338</v>
      </c>
      <c r="G30" s="164">
        <f>-142.24-975.5-75.9</f>
        <v>-1193.6400000000001</v>
      </c>
      <c r="H30" s="163"/>
      <c r="I30" s="165">
        <f t="shared" si="0"/>
        <v>144.3599999999999</v>
      </c>
    </row>
    <row r="31" spans="1:9" ht="18">
      <c r="A31" s="158" t="s">
        <v>413</v>
      </c>
      <c r="B31" s="159">
        <v>41950</v>
      </c>
      <c r="C31" s="161" t="s">
        <v>414</v>
      </c>
      <c r="D31" s="161" t="s">
        <v>415</v>
      </c>
      <c r="E31" s="162">
        <v>41964</v>
      </c>
      <c r="F31" s="163">
        <v>325</v>
      </c>
      <c r="G31" s="164">
        <f>-89.04-235.96</f>
        <v>-325</v>
      </c>
      <c r="H31" s="163"/>
      <c r="I31" s="165">
        <f t="shared" si="0"/>
        <v>0</v>
      </c>
    </row>
    <row r="32" spans="1:9" ht="18">
      <c r="A32" s="158" t="s">
        <v>416</v>
      </c>
      <c r="B32" s="159">
        <v>41950</v>
      </c>
      <c r="C32" s="160" t="s">
        <v>384</v>
      </c>
      <c r="D32" s="161" t="s">
        <v>417</v>
      </c>
      <c r="E32" s="162">
        <v>41964</v>
      </c>
      <c r="F32" s="163">
        <v>1000</v>
      </c>
      <c r="G32" s="164">
        <f>-164.64-164.64-506-164.64</f>
        <v>-999.92</v>
      </c>
      <c r="H32" s="163"/>
      <c r="I32" s="165">
        <f t="shared" si="0"/>
        <v>8.0000000000040927E-2</v>
      </c>
    </row>
    <row r="33" spans="1:9" ht="18">
      <c r="A33" s="158" t="s">
        <v>418</v>
      </c>
      <c r="B33" s="166">
        <v>41950</v>
      </c>
      <c r="C33" s="167" t="s">
        <v>420</v>
      </c>
      <c r="D33" s="167" t="s">
        <v>419</v>
      </c>
      <c r="E33" s="168">
        <v>41979</v>
      </c>
      <c r="F33" s="169">
        <v>1200</v>
      </c>
      <c r="G33" s="164"/>
      <c r="H33" s="163"/>
      <c r="I33" s="165">
        <f>F33+G33</f>
        <v>1200</v>
      </c>
    </row>
    <row r="34" spans="1:9" ht="18">
      <c r="A34" s="170" t="s">
        <v>421</v>
      </c>
      <c r="B34" s="171">
        <v>41950</v>
      </c>
      <c r="C34" s="172" t="s">
        <v>422</v>
      </c>
      <c r="D34" s="172" t="s">
        <v>423</v>
      </c>
      <c r="E34" s="173">
        <v>41987</v>
      </c>
      <c r="F34" s="174">
        <v>1300</v>
      </c>
      <c r="G34" s="164"/>
      <c r="H34" s="163"/>
      <c r="I34" s="165">
        <f t="shared" si="0"/>
        <v>1300</v>
      </c>
    </row>
    <row r="35" spans="1:9" ht="18">
      <c r="A35" s="170" t="s">
        <v>431</v>
      </c>
      <c r="B35" s="171">
        <v>41957</v>
      </c>
      <c r="C35" s="172" t="s">
        <v>432</v>
      </c>
      <c r="D35" s="172" t="s">
        <v>433</v>
      </c>
      <c r="E35" s="173">
        <v>41967</v>
      </c>
      <c r="F35" s="174">
        <v>105</v>
      </c>
      <c r="G35" s="164"/>
      <c r="H35" s="163"/>
      <c r="I35" s="165">
        <f t="shared" si="0"/>
        <v>105</v>
      </c>
    </row>
    <row r="36" spans="1:9" ht="18">
      <c r="A36" s="170" t="s">
        <v>424</v>
      </c>
      <c r="B36" s="171">
        <v>41957</v>
      </c>
      <c r="C36" s="172" t="s">
        <v>425</v>
      </c>
      <c r="D36" s="172" t="s">
        <v>184</v>
      </c>
      <c r="E36" s="173">
        <v>41975</v>
      </c>
      <c r="F36" s="174">
        <v>990</v>
      </c>
      <c r="G36" s="164">
        <f>-194.08-175-64.51-150-97.2-141.31-25.92-77.93</f>
        <v>-925.95</v>
      </c>
      <c r="H36" s="163"/>
      <c r="I36" s="165">
        <f t="shared" si="0"/>
        <v>64.049999999999955</v>
      </c>
    </row>
    <row r="37" spans="1:9" ht="18">
      <c r="A37" s="170" t="s">
        <v>426</v>
      </c>
      <c r="B37" s="171">
        <v>41957</v>
      </c>
      <c r="C37" s="172" t="s">
        <v>428</v>
      </c>
      <c r="D37" s="172" t="s">
        <v>427</v>
      </c>
      <c r="E37" s="173">
        <v>41978</v>
      </c>
      <c r="F37" s="174">
        <v>998</v>
      </c>
      <c r="G37" s="164">
        <f>-710</f>
        <v>-710</v>
      </c>
      <c r="H37" s="163"/>
      <c r="I37" s="165">
        <f t="shared" si="0"/>
        <v>288</v>
      </c>
    </row>
    <row r="38" spans="1:9" ht="18">
      <c r="A38" s="158" t="s">
        <v>434</v>
      </c>
      <c r="B38" s="159">
        <v>41957</v>
      </c>
      <c r="C38" s="161" t="s">
        <v>429</v>
      </c>
      <c r="D38" s="161" t="s">
        <v>430</v>
      </c>
      <c r="E38" s="162">
        <v>41976</v>
      </c>
      <c r="F38" s="163">
        <v>84</v>
      </c>
      <c r="G38" s="164">
        <f>-50.16-3.01-16.16-14</f>
        <v>-83.33</v>
      </c>
      <c r="H38" s="163"/>
      <c r="I38" s="165">
        <f t="shared" si="0"/>
        <v>0.67000000000000171</v>
      </c>
    </row>
    <row r="39" spans="1:9" ht="18">
      <c r="A39" s="158" t="s">
        <v>435</v>
      </c>
      <c r="B39" s="159">
        <v>41964</v>
      </c>
      <c r="C39" s="161" t="s">
        <v>436</v>
      </c>
      <c r="D39" s="161" t="s">
        <v>437</v>
      </c>
      <c r="E39" s="162">
        <v>41979</v>
      </c>
      <c r="F39" s="163">
        <v>874</v>
      </c>
      <c r="G39" s="164">
        <f>-29.3-87.27-200.98-545.4</f>
        <v>-862.94999999999993</v>
      </c>
      <c r="H39" s="163"/>
      <c r="I39" s="165">
        <f t="shared" si="0"/>
        <v>11.050000000000068</v>
      </c>
    </row>
    <row r="40" spans="1:9" ht="18">
      <c r="A40" s="158" t="s">
        <v>438</v>
      </c>
      <c r="B40" s="159">
        <v>41964</v>
      </c>
      <c r="C40" s="161" t="s">
        <v>439</v>
      </c>
      <c r="D40" s="161" t="s">
        <v>440</v>
      </c>
      <c r="E40" s="162">
        <v>41980</v>
      </c>
      <c r="F40" s="163">
        <v>800</v>
      </c>
      <c r="G40" s="164">
        <f>-461.61</f>
        <v>-461.61</v>
      </c>
      <c r="H40" s="163"/>
      <c r="I40" s="165">
        <f t="shared" si="0"/>
        <v>338.39</v>
      </c>
    </row>
    <row r="41" spans="1:9" ht="18">
      <c r="A41" s="158" t="s">
        <v>446</v>
      </c>
      <c r="B41" s="159">
        <v>41978</v>
      </c>
      <c r="C41" s="161" t="s">
        <v>447</v>
      </c>
      <c r="D41" s="161" t="s">
        <v>184</v>
      </c>
      <c r="E41" s="162">
        <v>42044</v>
      </c>
      <c r="F41" s="163">
        <v>5400</v>
      </c>
      <c r="G41" s="164">
        <f>-209.63-338.63-40.78-137.94-165.99-117.1-565.56-544.76-343.36-70.36</f>
        <v>-2534.1100000000006</v>
      </c>
      <c r="H41" s="163"/>
      <c r="I41" s="165">
        <f t="shared" si="0"/>
        <v>2865.8899999999994</v>
      </c>
    </row>
    <row r="42" spans="1:9" ht="18">
      <c r="A42" s="158" t="s">
        <v>448</v>
      </c>
      <c r="B42" s="159">
        <v>41978</v>
      </c>
      <c r="C42" s="161" t="s">
        <v>449</v>
      </c>
      <c r="D42" s="161" t="s">
        <v>450</v>
      </c>
      <c r="E42" s="162"/>
      <c r="F42" s="163">
        <v>810</v>
      </c>
      <c r="G42" s="164">
        <f>-858.93</f>
        <v>-858.93</v>
      </c>
      <c r="H42" s="163"/>
      <c r="I42" s="165">
        <f t="shared" si="0"/>
        <v>-48.92999999999995</v>
      </c>
    </row>
    <row r="43" spans="1:9" ht="18">
      <c r="A43" s="158" t="s">
        <v>465</v>
      </c>
      <c r="B43" s="159">
        <v>42030</v>
      </c>
      <c r="C43" s="161" t="s">
        <v>469</v>
      </c>
      <c r="D43" s="161" t="s">
        <v>317</v>
      </c>
      <c r="E43" s="162" t="s">
        <v>409</v>
      </c>
      <c r="F43" s="163">
        <v>94</v>
      </c>
      <c r="G43" s="164">
        <f>-111.14</f>
        <v>-111.14</v>
      </c>
      <c r="H43" s="163"/>
      <c r="I43" s="165">
        <f t="shared" si="0"/>
        <v>-17.14</v>
      </c>
    </row>
    <row r="44" spans="1:9" ht="18">
      <c r="A44" s="158" t="s">
        <v>468</v>
      </c>
      <c r="B44" s="159">
        <v>42030</v>
      </c>
      <c r="C44" s="161" t="s">
        <v>466</v>
      </c>
      <c r="D44" s="161" t="s">
        <v>467</v>
      </c>
      <c r="E44" s="162">
        <v>42034</v>
      </c>
      <c r="F44" s="163">
        <v>527</v>
      </c>
      <c r="G44" s="164"/>
      <c r="H44" s="163"/>
      <c r="I44" s="165">
        <f t="shared" si="0"/>
        <v>527</v>
      </c>
    </row>
    <row r="45" spans="1:9" ht="18">
      <c r="A45" s="158" t="s">
        <v>470</v>
      </c>
      <c r="B45" s="159">
        <v>42030</v>
      </c>
      <c r="C45" s="161" t="s">
        <v>471</v>
      </c>
      <c r="D45" s="161" t="s">
        <v>347</v>
      </c>
      <c r="E45" s="162">
        <v>42055</v>
      </c>
      <c r="F45" s="163">
        <v>950</v>
      </c>
      <c r="G45" s="164"/>
      <c r="H45" s="163"/>
      <c r="I45" s="165">
        <f t="shared" si="0"/>
        <v>950</v>
      </c>
    </row>
    <row r="46" spans="1:9" ht="18">
      <c r="A46" s="158" t="s">
        <v>472</v>
      </c>
      <c r="B46" s="159">
        <v>42030</v>
      </c>
      <c r="C46" s="161" t="s">
        <v>401</v>
      </c>
      <c r="D46" s="161" t="s">
        <v>467</v>
      </c>
      <c r="E46" s="162">
        <v>42056</v>
      </c>
      <c r="F46" s="163">
        <v>188</v>
      </c>
      <c r="G46" s="164"/>
      <c r="H46" s="163"/>
      <c r="I46" s="165">
        <f t="shared" si="0"/>
        <v>188</v>
      </c>
    </row>
    <row r="47" spans="1:9" ht="18">
      <c r="A47" s="158" t="s">
        <v>473</v>
      </c>
      <c r="B47" s="159">
        <v>42030</v>
      </c>
      <c r="C47" s="161" t="s">
        <v>474</v>
      </c>
      <c r="D47" s="161" t="s">
        <v>184</v>
      </c>
      <c r="E47" s="162">
        <v>42048</v>
      </c>
      <c r="F47" s="163">
        <v>999</v>
      </c>
      <c r="G47" s="164"/>
      <c r="H47" s="163"/>
      <c r="I47" s="165">
        <f t="shared" si="0"/>
        <v>999</v>
      </c>
    </row>
    <row r="48" spans="1:9" ht="18">
      <c r="A48" s="158" t="s">
        <v>475</v>
      </c>
      <c r="B48" s="159">
        <v>42030</v>
      </c>
      <c r="C48" s="161" t="s">
        <v>476</v>
      </c>
      <c r="D48" s="161" t="s">
        <v>353</v>
      </c>
      <c r="E48" s="162">
        <v>42098</v>
      </c>
      <c r="F48" s="163">
        <v>1390</v>
      </c>
      <c r="G48" s="164"/>
      <c r="H48" s="163"/>
      <c r="I48" s="165">
        <f t="shared" si="0"/>
        <v>1390</v>
      </c>
    </row>
    <row r="49" spans="1:9" ht="18">
      <c r="A49" s="158" t="s">
        <v>477</v>
      </c>
      <c r="B49" s="159">
        <v>42030</v>
      </c>
      <c r="C49" s="161" t="s">
        <v>478</v>
      </c>
      <c r="D49" s="161" t="s">
        <v>437</v>
      </c>
      <c r="E49" s="162">
        <v>42056</v>
      </c>
      <c r="F49" s="163">
        <v>1072.6300000000001</v>
      </c>
      <c r="G49" s="164"/>
      <c r="H49" s="163"/>
      <c r="I49" s="165">
        <f t="shared" si="0"/>
        <v>1072.6300000000001</v>
      </c>
    </row>
    <row r="50" spans="1:9" ht="18">
      <c r="A50" s="158" t="s">
        <v>483</v>
      </c>
      <c r="B50" s="159">
        <v>42037</v>
      </c>
      <c r="C50" s="161" t="s">
        <v>484</v>
      </c>
      <c r="D50" s="161" t="s">
        <v>181</v>
      </c>
      <c r="E50" s="162">
        <v>42047</v>
      </c>
      <c r="F50" s="163">
        <v>200</v>
      </c>
      <c r="G50" s="164">
        <f>-198.24</f>
        <v>-198.24</v>
      </c>
      <c r="H50" s="163"/>
      <c r="I50" s="165">
        <f t="shared" si="0"/>
        <v>1.7599999999999909</v>
      </c>
    </row>
    <row r="51" spans="1:9" ht="18">
      <c r="A51" s="158" t="s">
        <v>485</v>
      </c>
      <c r="B51" s="159">
        <v>42037</v>
      </c>
      <c r="C51" s="161" t="s">
        <v>488</v>
      </c>
      <c r="D51" s="161" t="s">
        <v>336</v>
      </c>
      <c r="E51" s="162">
        <v>42063</v>
      </c>
      <c r="F51" s="163">
        <v>110</v>
      </c>
      <c r="G51" s="164"/>
      <c r="H51" s="163"/>
      <c r="I51" s="165">
        <f t="shared" si="0"/>
        <v>110</v>
      </c>
    </row>
    <row r="52" spans="1:9" ht="18">
      <c r="A52" s="158" t="s">
        <v>487</v>
      </c>
      <c r="B52" s="159">
        <v>42037</v>
      </c>
      <c r="C52" s="161" t="s">
        <v>486</v>
      </c>
      <c r="D52" s="161" t="s">
        <v>437</v>
      </c>
      <c r="E52" s="162">
        <v>42050</v>
      </c>
      <c r="F52" s="163">
        <v>273</v>
      </c>
      <c r="G52" s="164">
        <f>-193.32</f>
        <v>-193.32</v>
      </c>
      <c r="H52" s="163"/>
      <c r="I52" s="165">
        <f t="shared" si="0"/>
        <v>79.680000000000007</v>
      </c>
    </row>
    <row r="53" spans="1:9" ht="18">
      <c r="A53" s="158" t="s">
        <v>498</v>
      </c>
      <c r="B53" s="159">
        <v>42044</v>
      </c>
      <c r="C53" s="161" t="s">
        <v>499</v>
      </c>
      <c r="D53" s="161" t="s">
        <v>382</v>
      </c>
      <c r="E53" s="162" t="s">
        <v>500</v>
      </c>
      <c r="F53" s="163">
        <v>740</v>
      </c>
      <c r="G53" s="164"/>
      <c r="H53" s="163"/>
      <c r="I53" s="165">
        <f t="shared" si="0"/>
        <v>740</v>
      </c>
    </row>
    <row r="54" spans="1:9" ht="18">
      <c r="A54" s="158" t="s">
        <v>501</v>
      </c>
      <c r="B54" s="159">
        <v>42044</v>
      </c>
      <c r="C54" s="161" t="s">
        <v>503</v>
      </c>
      <c r="D54" s="161" t="s">
        <v>502</v>
      </c>
      <c r="E54" s="162">
        <v>42056</v>
      </c>
      <c r="F54" s="163">
        <v>784</v>
      </c>
      <c r="G54" s="164"/>
      <c r="H54" s="163"/>
      <c r="I54" s="165">
        <f t="shared" si="0"/>
        <v>784</v>
      </c>
    </row>
    <row r="55" spans="1:9" s="206" customFormat="1" ht="18">
      <c r="A55" s="170" t="s">
        <v>512</v>
      </c>
      <c r="B55" s="175">
        <v>42058</v>
      </c>
      <c r="C55" s="205" t="s">
        <v>513</v>
      </c>
      <c r="D55" s="205" t="s">
        <v>514</v>
      </c>
      <c r="E55" s="177">
        <v>42069</v>
      </c>
      <c r="F55" s="163">
        <v>275</v>
      </c>
      <c r="G55" s="164"/>
      <c r="H55" s="163"/>
      <c r="I55" s="165">
        <f t="shared" si="0"/>
        <v>275</v>
      </c>
    </row>
    <row r="56" spans="1:9" s="206" customFormat="1" ht="18">
      <c r="A56" s="170" t="s">
        <v>515</v>
      </c>
      <c r="B56" s="175">
        <v>42058</v>
      </c>
      <c r="C56" s="205" t="s">
        <v>516</v>
      </c>
      <c r="D56" s="205" t="s">
        <v>517</v>
      </c>
      <c r="E56" s="177">
        <v>42075</v>
      </c>
      <c r="F56" s="163">
        <v>600</v>
      </c>
      <c r="G56" s="164"/>
      <c r="H56" s="163"/>
      <c r="I56" s="165">
        <f t="shared" si="0"/>
        <v>600</v>
      </c>
    </row>
    <row r="57" spans="1:9" s="206" customFormat="1" ht="18">
      <c r="A57" s="170" t="s">
        <v>518</v>
      </c>
      <c r="B57" s="175">
        <v>42058</v>
      </c>
      <c r="C57" s="205" t="s">
        <v>519</v>
      </c>
      <c r="D57" s="205" t="s">
        <v>520</v>
      </c>
      <c r="E57" s="177">
        <v>42079</v>
      </c>
      <c r="F57" s="163">
        <v>800</v>
      </c>
      <c r="G57" s="164"/>
      <c r="H57" s="163"/>
      <c r="I57" s="165">
        <f t="shared" si="0"/>
        <v>800</v>
      </c>
    </row>
    <row r="58" spans="1:9" s="206" customFormat="1" ht="18">
      <c r="A58" s="170" t="s">
        <v>521</v>
      </c>
      <c r="B58" s="175">
        <v>42058</v>
      </c>
      <c r="C58" s="205" t="s">
        <v>522</v>
      </c>
      <c r="D58" s="205" t="s">
        <v>523</v>
      </c>
      <c r="E58" s="177">
        <v>42090</v>
      </c>
      <c r="F58" s="163">
        <v>1000</v>
      </c>
      <c r="G58" s="164"/>
      <c r="H58" s="163"/>
      <c r="I58" s="165">
        <f t="shared" si="0"/>
        <v>1000</v>
      </c>
    </row>
    <row r="59" spans="1:9" s="206" customFormat="1" ht="18">
      <c r="A59" s="170" t="s">
        <v>524</v>
      </c>
      <c r="B59" s="175">
        <v>42058</v>
      </c>
      <c r="C59" s="205" t="s">
        <v>525</v>
      </c>
      <c r="D59" s="205" t="s">
        <v>526</v>
      </c>
      <c r="E59" s="177">
        <v>42074</v>
      </c>
      <c r="F59" s="163">
        <v>350</v>
      </c>
      <c r="G59" s="164"/>
      <c r="H59" s="163"/>
      <c r="I59" s="165">
        <f t="shared" si="0"/>
        <v>350</v>
      </c>
    </row>
    <row r="60" spans="1:9" s="206" customFormat="1" ht="18">
      <c r="A60" s="170" t="s">
        <v>527</v>
      </c>
      <c r="B60" s="175">
        <v>42058</v>
      </c>
      <c r="C60" s="205" t="s">
        <v>528</v>
      </c>
      <c r="D60" s="205" t="s">
        <v>437</v>
      </c>
      <c r="E60" s="177">
        <v>42070</v>
      </c>
      <c r="F60" s="163">
        <v>571.08000000000004</v>
      </c>
      <c r="G60" s="164"/>
      <c r="H60" s="163"/>
      <c r="I60" s="165">
        <f t="shared" si="0"/>
        <v>571.08000000000004</v>
      </c>
    </row>
    <row r="61" spans="1:9" s="206" customFormat="1" ht="18">
      <c r="A61" s="170" t="s">
        <v>529</v>
      </c>
      <c r="B61" s="175">
        <v>42058</v>
      </c>
      <c r="C61" s="205" t="s">
        <v>530</v>
      </c>
      <c r="D61" s="205" t="s">
        <v>142</v>
      </c>
      <c r="E61" s="177">
        <v>42076</v>
      </c>
      <c r="F61" s="163">
        <v>864</v>
      </c>
      <c r="G61" s="164"/>
      <c r="H61" s="163"/>
      <c r="I61" s="165">
        <f t="shared" si="0"/>
        <v>864</v>
      </c>
    </row>
    <row r="62" spans="1:9" s="206" customFormat="1" ht="18">
      <c r="A62" s="170"/>
      <c r="B62" s="175"/>
      <c r="C62" s="205"/>
      <c r="D62" s="205"/>
      <c r="E62" s="177"/>
      <c r="F62" s="163"/>
      <c r="G62" s="164"/>
      <c r="H62" s="163"/>
      <c r="I62" s="165"/>
    </row>
    <row r="63" spans="1:9" s="206" customFormat="1" ht="18">
      <c r="A63" s="170"/>
      <c r="B63" s="175"/>
      <c r="C63" s="205"/>
      <c r="D63" s="205"/>
      <c r="E63" s="177"/>
      <c r="F63" s="163"/>
      <c r="G63" s="164"/>
      <c r="H63" s="163"/>
      <c r="I63" s="165"/>
    </row>
    <row r="64" spans="1:9" s="206" customFormat="1" ht="18">
      <c r="A64" s="170"/>
      <c r="B64" s="175"/>
      <c r="C64" s="205"/>
      <c r="D64" s="205"/>
      <c r="E64" s="177"/>
      <c r="F64" s="163"/>
      <c r="G64" s="164"/>
      <c r="H64" s="163"/>
      <c r="I64" s="165"/>
    </row>
    <row r="65" spans="1:9" s="206" customFormat="1" ht="18">
      <c r="A65" s="170"/>
      <c r="B65" s="175"/>
      <c r="C65" s="205"/>
      <c r="D65" s="205"/>
      <c r="E65" s="177"/>
      <c r="F65" s="163"/>
      <c r="G65" s="164"/>
      <c r="H65" s="163"/>
      <c r="I65" s="165"/>
    </row>
    <row r="66" spans="1:9" s="206" customFormat="1" ht="18">
      <c r="A66" s="170"/>
      <c r="B66" s="175"/>
      <c r="C66" s="205"/>
      <c r="D66" s="205"/>
      <c r="E66" s="177"/>
      <c r="F66" s="163"/>
      <c r="G66" s="164"/>
      <c r="H66" s="163"/>
      <c r="I66" s="165">
        <f t="shared" si="0"/>
        <v>0</v>
      </c>
    </row>
    <row r="67" spans="1:9" s="206" customFormat="1" ht="18">
      <c r="A67" s="170"/>
      <c r="B67" s="175"/>
      <c r="C67" s="207"/>
      <c r="D67" s="207"/>
      <c r="E67" s="177"/>
      <c r="F67" s="163"/>
      <c r="G67" s="164"/>
      <c r="H67" s="163"/>
      <c r="I67" s="165"/>
    </row>
    <row r="68" spans="1:9" s="206" customFormat="1" ht="18">
      <c r="A68" s="170"/>
      <c r="B68" s="175"/>
      <c r="C68" s="176"/>
      <c r="D68" s="176"/>
      <c r="E68" s="177"/>
      <c r="F68" s="163"/>
      <c r="G68" s="164"/>
      <c r="H68" s="163"/>
      <c r="I68" s="165">
        <f t="shared" si="0"/>
        <v>0</v>
      </c>
    </row>
    <row r="69" spans="1:9" s="206" customFormat="1" ht="18">
      <c r="A69" s="170"/>
      <c r="B69" s="175"/>
      <c r="C69" s="176"/>
      <c r="D69" s="176"/>
      <c r="E69" s="177"/>
      <c r="F69" s="163"/>
      <c r="G69" s="164"/>
      <c r="H69" s="163"/>
      <c r="I69" s="165">
        <f t="shared" si="0"/>
        <v>0</v>
      </c>
    </row>
    <row r="70" spans="1:9" s="206" customFormat="1" ht="18">
      <c r="A70" s="170"/>
      <c r="B70" s="175"/>
      <c r="C70" s="176"/>
      <c r="D70" s="176"/>
      <c r="E70" s="177"/>
      <c r="F70" s="163"/>
      <c r="G70" s="164"/>
      <c r="H70" s="163"/>
      <c r="I70" s="165">
        <f t="shared" si="0"/>
        <v>0</v>
      </c>
    </row>
    <row r="71" spans="1:9" s="206" customFormat="1" ht="18">
      <c r="A71" s="170"/>
      <c r="B71" s="178"/>
      <c r="C71" s="179"/>
      <c r="D71" s="179"/>
      <c r="E71" s="180"/>
      <c r="F71" s="163">
        <v>0</v>
      </c>
      <c r="G71" s="164"/>
      <c r="H71" s="163"/>
      <c r="I71" s="165">
        <f t="shared" si="0"/>
        <v>0</v>
      </c>
    </row>
    <row r="72" spans="1:9" ht="18">
      <c r="A72" s="158"/>
      <c r="B72" s="159"/>
      <c r="C72" s="161"/>
      <c r="D72" s="161"/>
      <c r="E72" s="162"/>
      <c r="F72" s="163">
        <f>SUM(F4:F71)</f>
        <v>44787.049999999996</v>
      </c>
      <c r="G72" s="164">
        <f>SUM(G4:G71)</f>
        <v>-18414.310000000001</v>
      </c>
      <c r="H72" s="163"/>
      <c r="I72" s="165">
        <f t="shared" si="0"/>
        <v>26372.739999999994</v>
      </c>
    </row>
    <row r="73" spans="1:9" ht="18">
      <c r="A73" s="158"/>
      <c r="B73" s="159"/>
      <c r="C73" s="160"/>
      <c r="D73" s="161"/>
      <c r="E73" s="162"/>
      <c r="F73" s="163"/>
      <c r="G73" s="164"/>
      <c r="H73" s="163"/>
      <c r="I73" s="163"/>
    </row>
    <row r="74" spans="1:9" ht="18">
      <c r="A74" s="158"/>
      <c r="B74" s="159"/>
      <c r="C74" s="161"/>
      <c r="D74" s="161"/>
      <c r="E74" s="162" t="s">
        <v>303</v>
      </c>
      <c r="F74" s="163">
        <v>77780</v>
      </c>
      <c r="G74" s="182"/>
      <c r="H74" s="163"/>
      <c r="I74" s="181"/>
    </row>
    <row r="75" spans="1:9" ht="18">
      <c r="A75" s="158"/>
      <c r="B75" s="159"/>
      <c r="C75" s="161"/>
      <c r="D75" s="161"/>
      <c r="E75" s="183" t="s">
        <v>304</v>
      </c>
      <c r="F75" s="184">
        <f>F72</f>
        <v>44787.049999999996</v>
      </c>
      <c r="G75" s="182"/>
      <c r="H75" s="163"/>
      <c r="I75" s="181"/>
    </row>
    <row r="76" spans="1:9" ht="18">
      <c r="A76" s="158"/>
      <c r="B76" s="159"/>
      <c r="C76" s="161"/>
      <c r="D76" s="161"/>
      <c r="E76" s="162" t="s">
        <v>18</v>
      </c>
      <c r="F76" s="163">
        <f>F74-F75</f>
        <v>32992.950000000004</v>
      </c>
      <c r="G76" s="182"/>
      <c r="H76" s="163"/>
      <c r="I76" s="181"/>
    </row>
  </sheetData>
  <mergeCells count="1">
    <mergeCell ref="A1:I2"/>
  </mergeCells>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workbookViewId="0">
      <selection activeCell="A3" sqref="A3"/>
    </sheetView>
  </sheetViews>
  <sheetFormatPr baseColWidth="10" defaultRowHeight="12" x14ac:dyDescent="0"/>
  <cols>
    <col min="2" max="2" width="12.5" bestFit="1" customWidth="1"/>
    <col min="3" max="3" width="74" bestFit="1" customWidth="1"/>
    <col min="4" max="4" width="25" bestFit="1" customWidth="1"/>
    <col min="5" max="5" width="41.5" bestFit="1" customWidth="1"/>
    <col min="6" max="6" width="19.6640625" customWidth="1"/>
    <col min="7" max="7" width="19.6640625" bestFit="1" customWidth="1"/>
    <col min="8" max="8" width="18.6640625" bestFit="1" customWidth="1"/>
    <col min="9" max="10" width="18" customWidth="1"/>
  </cols>
  <sheetData>
    <row r="1" spans="1:9">
      <c r="A1" s="214" t="s">
        <v>532</v>
      </c>
      <c r="B1" s="215"/>
      <c r="C1" s="215"/>
      <c r="D1" s="215"/>
      <c r="E1" s="215"/>
      <c r="F1" s="215"/>
      <c r="G1" s="215"/>
      <c r="H1" s="216"/>
    </row>
    <row r="2" spans="1:9">
      <c r="A2" s="217"/>
      <c r="B2" s="218"/>
      <c r="C2" s="218"/>
      <c r="D2" s="218"/>
      <c r="E2" s="218"/>
      <c r="F2" s="218"/>
      <c r="G2" s="218"/>
      <c r="H2" s="219"/>
    </row>
    <row r="3" spans="1:9" ht="13">
      <c r="A3" s="185" t="s">
        <v>309</v>
      </c>
      <c r="B3" s="186" t="s">
        <v>294</v>
      </c>
      <c r="C3" s="185" t="s">
        <v>295</v>
      </c>
      <c r="D3" s="185" t="s">
        <v>310</v>
      </c>
      <c r="E3" s="185" t="s">
        <v>296</v>
      </c>
      <c r="F3" s="187" t="s">
        <v>298</v>
      </c>
      <c r="G3" s="187" t="s">
        <v>299</v>
      </c>
      <c r="H3" s="188" t="s">
        <v>301</v>
      </c>
    </row>
    <row r="4" spans="1:9" ht="18">
      <c r="A4" s="189">
        <v>1</v>
      </c>
      <c r="B4" s="190">
        <v>41887</v>
      </c>
      <c r="C4" s="191" t="s">
        <v>313</v>
      </c>
      <c r="D4" s="192">
        <v>41898</v>
      </c>
      <c r="E4" s="191" t="s">
        <v>314</v>
      </c>
      <c r="F4" s="193">
        <v>2570</v>
      </c>
      <c r="G4" s="193">
        <f>-433.37-467.04-102.15-16.16-36.84-94-48</f>
        <v>-1197.56</v>
      </c>
      <c r="H4" s="194">
        <f>F4+G4</f>
        <v>1372.44</v>
      </c>
      <c r="I4" t="s">
        <v>459</v>
      </c>
    </row>
    <row r="5" spans="1:9" ht="18">
      <c r="A5" s="158">
        <v>2</v>
      </c>
      <c r="B5" s="195">
        <v>41893</v>
      </c>
      <c r="C5" s="161" t="s">
        <v>315</v>
      </c>
      <c r="D5" s="196" t="s">
        <v>316</v>
      </c>
      <c r="E5" s="161" t="s">
        <v>317</v>
      </c>
      <c r="F5" s="163">
        <v>2404.19</v>
      </c>
      <c r="G5" s="163">
        <f>-1575-66.07-65.97-221.08-288</f>
        <v>-2216.12</v>
      </c>
      <c r="H5" s="194">
        <f t="shared" ref="H5:H34" si="0">F5+G5</f>
        <v>188.07000000000016</v>
      </c>
    </row>
    <row r="6" spans="1:9" ht="18">
      <c r="A6" s="158">
        <v>3</v>
      </c>
      <c r="B6" s="195">
        <v>41896</v>
      </c>
      <c r="C6" s="161" t="s">
        <v>318</v>
      </c>
      <c r="D6" s="160" t="s">
        <v>319</v>
      </c>
      <c r="E6" s="161" t="s">
        <v>320</v>
      </c>
      <c r="F6" s="163">
        <f>65000-65000</f>
        <v>0</v>
      </c>
      <c r="G6" s="163"/>
      <c r="H6" s="194">
        <f t="shared" si="0"/>
        <v>0</v>
      </c>
    </row>
    <row r="7" spans="1:9" ht="18">
      <c r="A7" s="158">
        <v>4</v>
      </c>
      <c r="B7" s="195">
        <v>41913</v>
      </c>
      <c r="C7" s="161" t="s">
        <v>376</v>
      </c>
      <c r="D7" s="160" t="s">
        <v>377</v>
      </c>
      <c r="E7" s="161" t="s">
        <v>378</v>
      </c>
      <c r="F7" s="163">
        <v>29000</v>
      </c>
      <c r="G7" s="163">
        <v>0</v>
      </c>
      <c r="H7" s="194">
        <f t="shared" si="0"/>
        <v>29000</v>
      </c>
    </row>
    <row r="8" spans="1:9" ht="18">
      <c r="A8" s="158">
        <v>5</v>
      </c>
      <c r="B8" s="195">
        <v>41894</v>
      </c>
      <c r="C8" s="161" t="s">
        <v>321</v>
      </c>
      <c r="D8" s="160" t="s">
        <v>322</v>
      </c>
      <c r="E8" s="161" t="s">
        <v>323</v>
      </c>
      <c r="F8" s="163">
        <v>2331</v>
      </c>
      <c r="G8" s="163">
        <f>-7.5-7.5-11-566.2-566.2-642.66-566.2</f>
        <v>-2367.2600000000002</v>
      </c>
      <c r="H8" s="194">
        <f t="shared" si="0"/>
        <v>-36.260000000000218</v>
      </c>
    </row>
    <row r="9" spans="1:9" ht="18">
      <c r="A9" s="158">
        <v>6</v>
      </c>
      <c r="B9" s="195">
        <v>41907</v>
      </c>
      <c r="C9" s="161" t="s">
        <v>337</v>
      </c>
      <c r="D9" s="197">
        <v>42005</v>
      </c>
      <c r="E9" s="161" t="s">
        <v>339</v>
      </c>
      <c r="F9" s="163">
        <v>3864</v>
      </c>
      <c r="G9" s="163">
        <f>-75-5107.13+1318.13</f>
        <v>-3864</v>
      </c>
      <c r="H9" s="194">
        <f t="shared" si="0"/>
        <v>0</v>
      </c>
    </row>
    <row r="10" spans="1:9" ht="18">
      <c r="A10" s="158">
        <v>7</v>
      </c>
      <c r="B10" s="195">
        <v>41907</v>
      </c>
      <c r="C10" s="161" t="s">
        <v>338</v>
      </c>
      <c r="D10" s="161" t="s">
        <v>344</v>
      </c>
      <c r="E10" s="161" t="s">
        <v>340</v>
      </c>
      <c r="F10" s="163">
        <v>10000</v>
      </c>
      <c r="G10" s="163">
        <f>-1952.08-3217.28-3518.9</f>
        <v>-8688.26</v>
      </c>
      <c r="H10" s="194">
        <f t="shared" si="0"/>
        <v>1311.7399999999998</v>
      </c>
    </row>
    <row r="11" spans="1:9" ht="18">
      <c r="A11" s="158">
        <v>8</v>
      </c>
      <c r="B11" s="195">
        <v>41907</v>
      </c>
      <c r="C11" s="161" t="s">
        <v>343</v>
      </c>
      <c r="D11" s="160" t="s">
        <v>342</v>
      </c>
      <c r="E11" s="161" t="s">
        <v>341</v>
      </c>
      <c r="F11" s="163">
        <v>5389</v>
      </c>
      <c r="G11" s="163">
        <f>-2793.6-2596</f>
        <v>-5389.6</v>
      </c>
      <c r="H11" s="194">
        <f t="shared" si="0"/>
        <v>-0.6000000000003638</v>
      </c>
    </row>
    <row r="12" spans="1:9" ht="18">
      <c r="A12" s="158">
        <v>10</v>
      </c>
      <c r="B12" s="195">
        <v>41913</v>
      </c>
      <c r="C12" s="161" t="s">
        <v>350</v>
      </c>
      <c r="D12" s="160" t="s">
        <v>351</v>
      </c>
      <c r="E12" s="161" t="s">
        <v>181</v>
      </c>
      <c r="F12" s="163">
        <v>8400</v>
      </c>
      <c r="G12" s="163">
        <f>-7672.5-306-34-34-914.25+560.75</f>
        <v>-8400</v>
      </c>
      <c r="H12" s="194">
        <f t="shared" si="0"/>
        <v>0</v>
      </c>
    </row>
    <row r="13" spans="1:9" ht="18">
      <c r="A13" s="158">
        <v>11</v>
      </c>
      <c r="B13" s="195">
        <v>41913</v>
      </c>
      <c r="C13" s="161" t="s">
        <v>352</v>
      </c>
      <c r="D13" s="160">
        <v>41922</v>
      </c>
      <c r="E13" s="161" t="s">
        <v>353</v>
      </c>
      <c r="F13" s="163">
        <v>700</v>
      </c>
      <c r="G13" s="163">
        <f>-387.56-286.44-26</f>
        <v>-700</v>
      </c>
      <c r="H13" s="194">
        <f t="shared" si="0"/>
        <v>0</v>
      </c>
    </row>
    <row r="14" spans="1:9" ht="25">
      <c r="A14" s="158">
        <v>14</v>
      </c>
      <c r="B14" s="195">
        <v>41927</v>
      </c>
      <c r="C14" s="161" t="s">
        <v>389</v>
      </c>
      <c r="D14" s="197">
        <v>41950</v>
      </c>
      <c r="E14" s="161" t="s">
        <v>390</v>
      </c>
      <c r="F14" s="163">
        <v>1352</v>
      </c>
      <c r="G14" s="163">
        <f>-70-350-210-360-825.8</f>
        <v>-1815.8</v>
      </c>
      <c r="H14" s="194">
        <f t="shared" si="0"/>
        <v>-463.79999999999995</v>
      </c>
      <c r="I14" t="s">
        <v>461</v>
      </c>
    </row>
    <row r="15" spans="1:9" ht="18">
      <c r="A15" s="158">
        <v>15</v>
      </c>
      <c r="B15" s="195">
        <v>41927</v>
      </c>
      <c r="C15" s="161" t="s">
        <v>391</v>
      </c>
      <c r="D15" s="160">
        <v>41958</v>
      </c>
      <c r="E15" s="161" t="s">
        <v>392</v>
      </c>
      <c r="F15" s="163">
        <v>8000</v>
      </c>
      <c r="G15" s="163">
        <f>-7095-1003.1</f>
        <v>-8098.1</v>
      </c>
      <c r="H15" s="194">
        <f t="shared" si="0"/>
        <v>-98.100000000000364</v>
      </c>
      <c r="I15" t="s">
        <v>460</v>
      </c>
    </row>
    <row r="16" spans="1:9" ht="18">
      <c r="A16" s="158">
        <v>16</v>
      </c>
      <c r="B16" s="195">
        <v>41927</v>
      </c>
      <c r="C16" s="161" t="s">
        <v>462</v>
      </c>
      <c r="D16" s="160" t="s">
        <v>463</v>
      </c>
      <c r="E16" s="161" t="s">
        <v>464</v>
      </c>
      <c r="F16" s="163">
        <v>1000</v>
      </c>
      <c r="G16" s="163">
        <v>0</v>
      </c>
      <c r="H16" s="194">
        <f t="shared" si="0"/>
        <v>1000</v>
      </c>
    </row>
    <row r="17" spans="1:8" ht="18">
      <c r="A17" s="158">
        <v>17</v>
      </c>
      <c r="B17" s="195">
        <v>41949</v>
      </c>
      <c r="C17" s="161" t="s">
        <v>405</v>
      </c>
      <c r="D17" s="161" t="s">
        <v>406</v>
      </c>
      <c r="E17" s="161" t="s">
        <v>407</v>
      </c>
      <c r="F17" s="163">
        <v>5892.8</v>
      </c>
      <c r="G17" s="163">
        <f>-203.72-135.34-31.5-206.98-43.64-124.14-37.25-16.96</f>
        <v>-799.53</v>
      </c>
      <c r="H17" s="194">
        <f t="shared" si="0"/>
        <v>5093.2700000000004</v>
      </c>
    </row>
    <row r="18" spans="1:8" ht="18">
      <c r="A18" s="158">
        <v>18</v>
      </c>
      <c r="B18" s="195">
        <v>41949</v>
      </c>
      <c r="C18" s="161" t="s">
        <v>408</v>
      </c>
      <c r="D18" s="160" t="s">
        <v>409</v>
      </c>
      <c r="E18" s="161" t="s">
        <v>181</v>
      </c>
      <c r="F18" s="163">
        <v>455</v>
      </c>
      <c r="G18" s="163">
        <f>-34.41-35.18-4-329.98</f>
        <v>-403.57000000000005</v>
      </c>
      <c r="H18" s="194">
        <f t="shared" si="0"/>
        <v>51.42999999999995</v>
      </c>
    </row>
    <row r="19" spans="1:8" ht="18">
      <c r="A19" s="158">
        <v>19</v>
      </c>
      <c r="B19" s="195">
        <v>41981</v>
      </c>
      <c r="C19" s="161" t="s">
        <v>451</v>
      </c>
      <c r="D19" s="160" t="s">
        <v>452</v>
      </c>
      <c r="E19" s="161" t="s">
        <v>453</v>
      </c>
      <c r="F19" s="163">
        <v>4000</v>
      </c>
      <c r="G19" s="163"/>
      <c r="H19" s="194">
        <f t="shared" si="0"/>
        <v>4000</v>
      </c>
    </row>
    <row r="20" spans="1:8" ht="18">
      <c r="A20" s="158">
        <v>20</v>
      </c>
      <c r="B20" s="195">
        <v>41967</v>
      </c>
      <c r="C20" s="161" t="s">
        <v>441</v>
      </c>
      <c r="D20" s="160">
        <v>41978</v>
      </c>
      <c r="E20" s="161" t="s">
        <v>442</v>
      </c>
      <c r="F20" s="163">
        <v>2860</v>
      </c>
      <c r="G20" s="163">
        <f>-501.13-232.68-234.32</f>
        <v>-968.12999999999988</v>
      </c>
      <c r="H20" s="194">
        <f t="shared" si="0"/>
        <v>1891.8700000000001</v>
      </c>
    </row>
    <row r="21" spans="1:8" ht="18">
      <c r="A21" s="158">
        <v>21</v>
      </c>
      <c r="B21" s="195">
        <v>41967</v>
      </c>
      <c r="C21" s="161" t="s">
        <v>445</v>
      </c>
      <c r="D21" s="198" t="s">
        <v>444</v>
      </c>
      <c r="E21" s="161" t="s">
        <v>443</v>
      </c>
      <c r="F21" s="163">
        <v>9900</v>
      </c>
      <c r="G21" s="163"/>
      <c r="H21" s="194">
        <f t="shared" si="0"/>
        <v>9900</v>
      </c>
    </row>
    <row r="22" spans="1:8" ht="18">
      <c r="A22" s="158">
        <v>23</v>
      </c>
      <c r="B22" s="195">
        <v>41981</v>
      </c>
      <c r="C22" s="161" t="s">
        <v>454</v>
      </c>
      <c r="D22" s="160" t="s">
        <v>409</v>
      </c>
      <c r="E22" s="161" t="s">
        <v>417</v>
      </c>
      <c r="F22" s="163">
        <v>9920</v>
      </c>
      <c r="G22" s="163"/>
      <c r="H22" s="194">
        <f t="shared" si="0"/>
        <v>9920</v>
      </c>
    </row>
    <row r="23" spans="1:8" ht="18">
      <c r="A23" s="158">
        <v>25</v>
      </c>
      <c r="B23" s="195">
        <v>41981</v>
      </c>
      <c r="C23" s="161" t="s">
        <v>455</v>
      </c>
      <c r="D23" s="160" t="s">
        <v>456</v>
      </c>
      <c r="E23" s="161" t="s">
        <v>347</v>
      </c>
      <c r="F23" s="163">
        <v>2800</v>
      </c>
      <c r="G23" s="163">
        <f>-2300</f>
        <v>-2300</v>
      </c>
      <c r="H23" s="194">
        <f t="shared" si="0"/>
        <v>500</v>
      </c>
    </row>
    <row r="24" spans="1:8" ht="18">
      <c r="A24" s="158">
        <v>28</v>
      </c>
      <c r="B24" s="195">
        <v>41667</v>
      </c>
      <c r="C24" s="161" t="s">
        <v>481</v>
      </c>
      <c r="D24" s="160" t="s">
        <v>452</v>
      </c>
      <c r="E24" s="161" t="s">
        <v>482</v>
      </c>
      <c r="F24" s="163">
        <v>2700</v>
      </c>
      <c r="G24" s="163"/>
      <c r="H24" s="194"/>
    </row>
    <row r="25" spans="1:8" ht="18">
      <c r="A25" s="158"/>
      <c r="B25" s="195"/>
      <c r="C25" s="161" t="s">
        <v>457</v>
      </c>
      <c r="D25" s="160"/>
      <c r="E25" s="161"/>
      <c r="F25" s="163">
        <v>4633.4399999999996</v>
      </c>
      <c r="G25" s="163">
        <f>-83.44-4550</f>
        <v>-4633.4399999999996</v>
      </c>
      <c r="H25" s="194">
        <f t="shared" si="0"/>
        <v>0</v>
      </c>
    </row>
    <row r="26" spans="1:8" ht="18">
      <c r="A26" s="158">
        <v>29</v>
      </c>
      <c r="B26" s="195">
        <v>42040</v>
      </c>
      <c r="C26" s="161" t="s">
        <v>491</v>
      </c>
      <c r="D26" s="160">
        <v>42068</v>
      </c>
      <c r="E26" s="161" t="s">
        <v>491</v>
      </c>
      <c r="F26" s="163">
        <v>2650</v>
      </c>
      <c r="G26" s="163"/>
      <c r="H26" s="194"/>
    </row>
    <row r="27" spans="1:8" ht="18">
      <c r="A27" s="158">
        <v>30</v>
      </c>
      <c r="B27" s="195">
        <v>42040</v>
      </c>
      <c r="C27" s="161" t="s">
        <v>492</v>
      </c>
      <c r="D27" s="160" t="s">
        <v>493</v>
      </c>
      <c r="E27" s="161" t="s">
        <v>453</v>
      </c>
      <c r="F27" s="163">
        <v>4000</v>
      </c>
      <c r="G27" s="163">
        <f>-257.5</f>
        <v>-257.5</v>
      </c>
      <c r="H27" s="194"/>
    </row>
    <row r="28" spans="1:8" ht="18">
      <c r="A28" s="158">
        <v>31</v>
      </c>
      <c r="B28" s="195"/>
      <c r="C28" s="161" t="s">
        <v>480</v>
      </c>
      <c r="D28" s="160">
        <v>42055</v>
      </c>
      <c r="E28" s="161" t="s">
        <v>479</v>
      </c>
      <c r="F28" s="163">
        <v>459.95</v>
      </c>
      <c r="G28" s="163">
        <f>-107.54-48.01-144.03-213.1</f>
        <v>-512.68000000000006</v>
      </c>
      <c r="H28" s="194">
        <f t="shared" si="0"/>
        <v>-52.730000000000075</v>
      </c>
    </row>
    <row r="29" spans="1:8" ht="18">
      <c r="A29" s="189">
        <v>32</v>
      </c>
      <c r="B29" s="190">
        <v>42040</v>
      </c>
      <c r="C29" s="191" t="s">
        <v>495</v>
      </c>
      <c r="D29" s="192" t="s">
        <v>452</v>
      </c>
      <c r="E29" s="191" t="s">
        <v>494</v>
      </c>
      <c r="F29" s="193">
        <v>2389.92</v>
      </c>
      <c r="G29" s="193"/>
      <c r="H29" s="194">
        <f t="shared" si="0"/>
        <v>2389.92</v>
      </c>
    </row>
    <row r="30" spans="1:8" ht="18">
      <c r="A30" s="189">
        <v>33</v>
      </c>
      <c r="B30" s="190">
        <v>42040</v>
      </c>
      <c r="C30" s="191" t="s">
        <v>496</v>
      </c>
      <c r="D30" s="192">
        <v>42063</v>
      </c>
      <c r="E30" s="191" t="s">
        <v>497</v>
      </c>
      <c r="F30" s="193">
        <v>1631</v>
      </c>
      <c r="G30" s="193">
        <f>-1480</f>
        <v>-1480</v>
      </c>
      <c r="H30" s="194">
        <f t="shared" si="0"/>
        <v>151</v>
      </c>
    </row>
    <row r="31" spans="1:8" ht="18">
      <c r="A31" s="189">
        <v>34</v>
      </c>
      <c r="B31" s="190">
        <v>42053</v>
      </c>
      <c r="C31" s="191" t="s">
        <v>504</v>
      </c>
      <c r="D31" s="192" t="s">
        <v>505</v>
      </c>
      <c r="E31" s="191" t="s">
        <v>506</v>
      </c>
      <c r="F31" s="193">
        <v>13000</v>
      </c>
      <c r="G31" s="193"/>
      <c r="H31" s="194">
        <f t="shared" si="0"/>
        <v>13000</v>
      </c>
    </row>
    <row r="32" spans="1:8" ht="18">
      <c r="A32" s="158">
        <v>35</v>
      </c>
      <c r="B32" s="195">
        <v>42053</v>
      </c>
      <c r="C32" s="161" t="s">
        <v>507</v>
      </c>
      <c r="D32" s="196" t="s">
        <v>509</v>
      </c>
      <c r="E32" s="161" t="s">
        <v>508</v>
      </c>
      <c r="F32" s="163">
        <v>7600</v>
      </c>
      <c r="G32" s="163"/>
      <c r="H32" s="194">
        <f t="shared" si="0"/>
        <v>7600</v>
      </c>
    </row>
    <row r="33" spans="1:8" ht="18">
      <c r="A33" s="158">
        <v>37</v>
      </c>
      <c r="B33" s="195">
        <v>42060</v>
      </c>
      <c r="C33" s="161" t="s">
        <v>510</v>
      </c>
      <c r="D33" s="160">
        <v>42101</v>
      </c>
      <c r="E33" s="161" t="s">
        <v>511</v>
      </c>
      <c r="F33" s="163">
        <v>7000</v>
      </c>
      <c r="G33" s="163"/>
      <c r="H33" s="194">
        <f t="shared" si="0"/>
        <v>7000</v>
      </c>
    </row>
    <row r="34" spans="1:8" ht="18">
      <c r="A34" s="158"/>
      <c r="B34" s="195"/>
      <c r="C34" s="161"/>
      <c r="D34" s="160"/>
      <c r="E34" s="161"/>
      <c r="F34" s="163"/>
      <c r="G34" s="163"/>
      <c r="H34" s="194">
        <f t="shared" si="0"/>
        <v>0</v>
      </c>
    </row>
    <row r="35" spans="1:8" ht="18">
      <c r="A35" s="158"/>
      <c r="B35" s="195"/>
      <c r="C35" s="161"/>
      <c r="D35" s="160"/>
      <c r="E35" s="161"/>
      <c r="F35" s="163"/>
      <c r="G35" s="163"/>
      <c r="H35" s="194"/>
    </row>
    <row r="36" spans="1:8" ht="18">
      <c r="A36" s="158"/>
      <c r="B36" s="195"/>
      <c r="C36" s="161"/>
      <c r="D36" s="161"/>
      <c r="E36" s="161"/>
      <c r="F36" s="163"/>
      <c r="G36" s="163"/>
      <c r="H36" s="194"/>
    </row>
    <row r="37" spans="1:8" ht="18">
      <c r="A37" s="158"/>
      <c r="B37" s="195"/>
      <c r="C37" s="161"/>
      <c r="D37" s="160"/>
      <c r="E37" s="161"/>
      <c r="F37" s="163"/>
      <c r="G37" s="163"/>
      <c r="H37" s="194"/>
    </row>
    <row r="38" spans="1:8" ht="18">
      <c r="A38" s="158"/>
      <c r="B38" s="195"/>
      <c r="C38" s="161"/>
      <c r="D38" s="160"/>
      <c r="E38" s="161"/>
      <c r="F38" s="163"/>
      <c r="G38" s="163"/>
      <c r="H38" s="194"/>
    </row>
    <row r="39" spans="1:8" ht="18">
      <c r="A39" s="158"/>
      <c r="B39" s="195"/>
      <c r="C39" s="161"/>
      <c r="D39" s="160"/>
      <c r="E39" s="161"/>
      <c r="F39" s="163"/>
      <c r="G39" s="163"/>
      <c r="H39" s="194"/>
    </row>
    <row r="40" spans="1:8" ht="18">
      <c r="A40" s="158"/>
      <c r="B40" s="195"/>
      <c r="C40" s="161"/>
      <c r="D40" s="160"/>
      <c r="E40" s="161"/>
      <c r="F40" s="163"/>
      <c r="G40" s="163"/>
      <c r="H40" s="194"/>
    </row>
    <row r="41" spans="1:8" ht="18">
      <c r="A41" s="158"/>
      <c r="B41" s="195"/>
      <c r="C41" s="161"/>
      <c r="D41" s="160"/>
      <c r="E41" s="161"/>
      <c r="F41" s="163"/>
      <c r="G41" s="163"/>
      <c r="H41" s="194"/>
    </row>
    <row r="42" spans="1:8" ht="18">
      <c r="A42" s="158"/>
      <c r="B42" s="195"/>
      <c r="C42" s="161"/>
      <c r="D42" s="197"/>
      <c r="E42" s="161"/>
      <c r="F42" s="163"/>
      <c r="G42" s="163"/>
      <c r="H42" s="194"/>
    </row>
    <row r="43" spans="1:8" ht="18">
      <c r="A43" s="158"/>
      <c r="B43" s="195"/>
      <c r="C43" s="161"/>
      <c r="D43" s="160"/>
      <c r="E43" s="161"/>
      <c r="F43" s="163"/>
      <c r="G43" s="163"/>
      <c r="H43" s="194"/>
    </row>
    <row r="44" spans="1:8" ht="18">
      <c r="A44" s="158"/>
      <c r="B44" s="195"/>
      <c r="C44" s="161"/>
      <c r="D44" s="161"/>
      <c r="E44" s="161"/>
      <c r="F44" s="163"/>
      <c r="G44" s="163"/>
      <c r="H44" s="194"/>
    </row>
    <row r="45" spans="1:8" ht="18">
      <c r="A45" s="158"/>
      <c r="B45" s="195"/>
      <c r="C45" s="161"/>
      <c r="D45" s="160"/>
      <c r="E45" s="161"/>
      <c r="F45" s="163"/>
      <c r="G45" s="163"/>
      <c r="H45" s="194"/>
    </row>
    <row r="46" spans="1:8" ht="18">
      <c r="A46" s="158"/>
      <c r="B46" s="195"/>
      <c r="C46" s="161"/>
      <c r="D46" s="160"/>
      <c r="E46" s="161"/>
      <c r="F46" s="163"/>
      <c r="G46" s="163"/>
      <c r="H46" s="194"/>
    </row>
    <row r="47" spans="1:8" ht="18">
      <c r="A47" s="158"/>
      <c r="B47" s="195"/>
      <c r="C47" s="161"/>
      <c r="D47" s="161"/>
      <c r="E47" s="161"/>
      <c r="F47" s="163"/>
      <c r="G47" s="163"/>
      <c r="H47" s="194"/>
    </row>
    <row r="48" spans="1:8" ht="18">
      <c r="A48" s="158"/>
      <c r="B48" s="195"/>
      <c r="C48" s="161"/>
      <c r="D48" s="198"/>
      <c r="E48" s="161"/>
      <c r="F48" s="163"/>
      <c r="G48" s="163"/>
      <c r="H48" s="194"/>
    </row>
    <row r="49" spans="1:8" ht="18">
      <c r="A49" s="158"/>
      <c r="B49" s="195"/>
      <c r="C49" s="161"/>
      <c r="D49" s="160"/>
      <c r="E49" s="161"/>
      <c r="F49" s="163"/>
      <c r="G49" s="163"/>
      <c r="H49" s="194"/>
    </row>
    <row r="50" spans="1:8" ht="18">
      <c r="A50" s="158"/>
      <c r="B50" s="195"/>
      <c r="C50" s="161"/>
      <c r="D50" s="160"/>
      <c r="E50" s="161"/>
      <c r="F50" s="163"/>
      <c r="G50" s="163"/>
      <c r="H50" s="194"/>
    </row>
    <row r="51" spans="1:8" ht="18">
      <c r="A51" s="158"/>
      <c r="B51" s="195"/>
      <c r="C51" s="161"/>
      <c r="D51" s="160"/>
      <c r="E51" s="161"/>
      <c r="F51" s="163"/>
      <c r="G51" s="163"/>
      <c r="H51" s="194"/>
    </row>
    <row r="52" spans="1:8" ht="18">
      <c r="A52" s="158"/>
      <c r="B52" s="195"/>
      <c r="C52" s="161"/>
      <c r="D52" s="160"/>
      <c r="E52" s="161"/>
      <c r="F52" s="163"/>
      <c r="G52" s="163"/>
      <c r="H52" s="194"/>
    </row>
    <row r="53" spans="1:8" ht="18">
      <c r="A53" s="158"/>
      <c r="B53" s="195"/>
      <c r="C53" s="161"/>
      <c r="D53" s="160"/>
      <c r="E53" s="161"/>
      <c r="F53" s="163"/>
      <c r="G53" s="163"/>
      <c r="H53" s="194"/>
    </row>
    <row r="54" spans="1:8" ht="18">
      <c r="A54" s="158"/>
      <c r="B54" s="195"/>
      <c r="C54" s="161"/>
      <c r="D54" s="160"/>
      <c r="E54" s="161"/>
      <c r="F54" s="163"/>
      <c r="G54" s="163"/>
      <c r="H54" s="194"/>
    </row>
    <row r="55" spans="1:8" ht="18">
      <c r="A55" s="158"/>
      <c r="B55" s="195"/>
      <c r="C55" s="161"/>
      <c r="D55" s="160"/>
      <c r="E55" s="161"/>
      <c r="F55" s="163"/>
      <c r="G55" s="163"/>
      <c r="H55" s="194"/>
    </row>
    <row r="56" spans="1:8" ht="18">
      <c r="A56" s="158"/>
      <c r="B56" s="195"/>
      <c r="C56" s="161"/>
      <c r="D56" s="160"/>
      <c r="E56" s="161"/>
      <c r="F56" s="163"/>
      <c r="G56" s="163"/>
      <c r="H56" s="194"/>
    </row>
    <row r="57" spans="1:8" ht="18">
      <c r="A57" s="158"/>
      <c r="B57" s="195"/>
      <c r="C57" s="161"/>
      <c r="D57" s="160"/>
      <c r="E57" s="161"/>
      <c r="F57" s="163"/>
      <c r="G57" s="163"/>
      <c r="H57" s="194"/>
    </row>
    <row r="58" spans="1:8" ht="18">
      <c r="A58" s="158"/>
      <c r="B58" s="195"/>
      <c r="C58" s="161"/>
      <c r="D58" s="160"/>
      <c r="E58" s="161"/>
      <c r="F58" s="163"/>
      <c r="G58" s="163"/>
      <c r="H58" s="194"/>
    </row>
    <row r="59" spans="1:8" ht="18">
      <c r="A59" s="158"/>
      <c r="B59" s="195"/>
      <c r="C59" s="161"/>
      <c r="D59" s="160"/>
      <c r="E59" s="161"/>
      <c r="F59" s="163"/>
      <c r="G59" s="163"/>
      <c r="H59" s="194"/>
    </row>
    <row r="60" spans="1:8" ht="18">
      <c r="A60" s="158"/>
      <c r="B60" s="195"/>
      <c r="C60" s="161"/>
      <c r="D60" s="160"/>
      <c r="E60" s="161"/>
      <c r="F60" s="163"/>
      <c r="G60" s="163"/>
      <c r="H60" s="194"/>
    </row>
    <row r="61" spans="1:8" ht="18">
      <c r="A61" s="158"/>
      <c r="B61" s="195"/>
      <c r="C61" s="161"/>
      <c r="D61" s="160"/>
      <c r="E61" s="161"/>
      <c r="F61" s="163"/>
      <c r="G61" s="163"/>
      <c r="H61" s="194"/>
    </row>
    <row r="62" spans="1:8" ht="18">
      <c r="A62" s="158"/>
      <c r="B62" s="195"/>
      <c r="C62" s="161"/>
      <c r="D62" s="160"/>
      <c r="E62" s="161"/>
      <c r="F62" s="163"/>
      <c r="G62" s="163"/>
      <c r="H62" s="194"/>
    </row>
    <row r="63" spans="1:8" ht="18">
      <c r="A63" s="158"/>
      <c r="B63" s="195"/>
      <c r="C63" s="161"/>
      <c r="D63" s="160"/>
      <c r="E63" s="161"/>
      <c r="F63" s="163"/>
      <c r="G63" s="163"/>
      <c r="H63" s="194"/>
    </row>
    <row r="64" spans="1:8" ht="18">
      <c r="A64" s="158"/>
      <c r="B64" s="195"/>
      <c r="C64" s="161"/>
      <c r="D64" s="160"/>
      <c r="E64" s="161"/>
      <c r="F64" s="163"/>
      <c r="G64" s="163"/>
      <c r="H64" s="194"/>
    </row>
    <row r="65" spans="1:8" ht="18">
      <c r="A65" s="158"/>
      <c r="B65" s="195"/>
      <c r="C65" s="161"/>
      <c r="D65" s="160"/>
      <c r="E65" s="161"/>
      <c r="F65" s="163">
        <f>SUM(F4:F61)</f>
        <v>156902.29999999999</v>
      </c>
      <c r="G65" s="163">
        <f>SUM(G4:G61)</f>
        <v>-54091.55</v>
      </c>
      <c r="H65" s="163">
        <f>F65+G65</f>
        <v>102810.74999999999</v>
      </c>
    </row>
    <row r="66" spans="1:8" ht="18">
      <c r="A66" s="158"/>
      <c r="B66" s="195"/>
      <c r="C66" s="161"/>
      <c r="D66" s="160"/>
      <c r="E66" s="161" t="s">
        <v>311</v>
      </c>
      <c r="F66" s="163">
        <v>230917.18</v>
      </c>
      <c r="G66" s="163" t="s">
        <v>159</v>
      </c>
      <c r="H66" s="163"/>
    </row>
    <row r="67" spans="1:8" ht="18">
      <c r="A67" s="158"/>
      <c r="B67" s="195"/>
      <c r="C67" s="161"/>
      <c r="D67" s="160"/>
      <c r="E67" s="199" t="s">
        <v>312</v>
      </c>
      <c r="F67" s="200"/>
      <c r="G67" s="163"/>
      <c r="H67" s="163"/>
    </row>
    <row r="68" spans="1:8" ht="18">
      <c r="A68" s="158"/>
      <c r="B68" s="195"/>
      <c r="C68" s="161"/>
      <c r="D68" s="161"/>
      <c r="E68" s="201" t="s">
        <v>18</v>
      </c>
      <c r="F68" s="202">
        <f>F66-F65</f>
        <v>74014.880000000005</v>
      </c>
      <c r="G68" s="163"/>
      <c r="H68" s="194"/>
    </row>
    <row r="69" spans="1:8">
      <c r="A69" s="203"/>
      <c r="B69" s="203"/>
      <c r="C69" s="203"/>
      <c r="D69" s="203"/>
      <c r="E69" s="203"/>
      <c r="F69" s="203"/>
      <c r="G69" s="203"/>
      <c r="H69" s="203"/>
    </row>
  </sheetData>
  <mergeCells count="1">
    <mergeCell ref="A1:H2"/>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Budget14-15</vt:lpstr>
      <vt:lpstr>ICC</vt:lpstr>
      <vt:lpstr>ASUCM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dc:creator>
  <cp:lastModifiedBy>Connie McBride</cp:lastModifiedBy>
  <cp:lastPrinted>2014-10-15T15:33:08Z</cp:lastPrinted>
  <dcterms:created xsi:type="dcterms:W3CDTF">2013-04-04T18:18:13Z</dcterms:created>
  <dcterms:modified xsi:type="dcterms:W3CDTF">2015-03-04T21:14:23Z</dcterms:modified>
</cp:coreProperties>
</file>