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SUCM\Documents\ASUCM BUDGET\"/>
    </mc:Choice>
  </mc:AlternateContent>
  <bookViews>
    <workbookView xWindow="0" yWindow="0" windowWidth="28800" windowHeight="12435" tabRatio="500"/>
  </bookViews>
  <sheets>
    <sheet name="Budget" sheetId="1" r:id="rId1"/>
    <sheet name="RCO Early Event" sheetId="2" r:id="rId2"/>
    <sheet name="Senate Bills" sheetId="3" r:id="rId3"/>
    <sheet name="ICC Bills" sheetId="4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4" l="1"/>
  <c r="G104" i="1"/>
  <c r="G15" i="1"/>
  <c r="G119" i="1"/>
  <c r="G34" i="3"/>
  <c r="G105" i="1"/>
  <c r="G55" i="4"/>
  <c r="G20" i="1"/>
  <c r="G124" i="1"/>
  <c r="G39" i="4"/>
  <c r="G22" i="3"/>
  <c r="G103" i="1"/>
  <c r="G31" i="3"/>
  <c r="G114" i="1"/>
  <c r="G36" i="4"/>
  <c r="G13" i="1"/>
  <c r="G11" i="1"/>
  <c r="G10" i="1"/>
  <c r="G52" i="1"/>
  <c r="G51" i="1"/>
  <c r="G48" i="1"/>
  <c r="G49" i="1"/>
  <c r="G50" i="1"/>
  <c r="G47" i="1"/>
  <c r="G4" i="4"/>
  <c r="G5" i="4"/>
  <c r="G6" i="4"/>
  <c r="G7" i="4"/>
  <c r="G8" i="4"/>
  <c r="G9" i="4"/>
  <c r="G10" i="4"/>
  <c r="G11" i="4"/>
  <c r="G12" i="4"/>
  <c r="G13" i="4"/>
  <c r="G15" i="4"/>
  <c r="G16" i="4"/>
  <c r="G17" i="4"/>
  <c r="G18" i="4"/>
  <c r="G19" i="4"/>
  <c r="G20" i="4"/>
  <c r="G21" i="4"/>
  <c r="G22" i="4"/>
  <c r="G23" i="4"/>
  <c r="G25" i="4"/>
  <c r="G26" i="4"/>
  <c r="G27" i="4"/>
  <c r="G29" i="4"/>
  <c r="G30" i="4"/>
  <c r="G31" i="4"/>
  <c r="G32" i="4"/>
  <c r="G33" i="4"/>
  <c r="G38" i="4"/>
  <c r="G42" i="4"/>
  <c r="G43" i="4"/>
  <c r="G45" i="4"/>
  <c r="G47" i="4"/>
  <c r="G48" i="4"/>
  <c r="G49" i="4"/>
  <c r="G52" i="4"/>
  <c r="G57" i="4"/>
  <c r="G83" i="4"/>
  <c r="G63" i="1"/>
  <c r="G64" i="1"/>
  <c r="G66" i="1"/>
  <c r="G65" i="1"/>
  <c r="G70" i="1"/>
  <c r="G72" i="1"/>
  <c r="G73" i="1"/>
  <c r="G74" i="1"/>
  <c r="G68" i="1"/>
  <c r="G62" i="1"/>
  <c r="G107" i="1"/>
  <c r="G108" i="1"/>
  <c r="G109" i="1"/>
  <c r="G110" i="1"/>
  <c r="G112" i="1"/>
  <c r="G113" i="1"/>
  <c r="G115" i="1"/>
  <c r="G116" i="1"/>
  <c r="G117" i="1"/>
  <c r="G118" i="1"/>
  <c r="G121" i="1"/>
  <c r="G122" i="1"/>
  <c r="G125" i="1"/>
  <c r="G102" i="1"/>
  <c r="G79" i="1"/>
  <c r="G81" i="1"/>
  <c r="G82" i="1"/>
  <c r="G83" i="1"/>
  <c r="G84" i="1"/>
  <c r="G85" i="1"/>
  <c r="G88" i="1"/>
  <c r="G89" i="1"/>
  <c r="G90" i="1"/>
  <c r="G93" i="1"/>
  <c r="G95" i="1"/>
  <c r="G96" i="1"/>
  <c r="G98" i="1"/>
  <c r="G99" i="1"/>
  <c r="G100" i="1"/>
  <c r="G77" i="1"/>
  <c r="G76" i="1"/>
  <c r="G4" i="3"/>
  <c r="G5" i="3"/>
  <c r="G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G24" i="3"/>
  <c r="G25" i="3"/>
  <c r="G26" i="3"/>
  <c r="G29" i="3"/>
  <c r="G42" i="3"/>
  <c r="G131" i="1"/>
  <c r="G128" i="1"/>
  <c r="G18" i="1"/>
  <c r="G19" i="1"/>
  <c r="G17" i="1"/>
  <c r="G16" i="1"/>
  <c r="G14" i="1"/>
  <c r="G23" i="1"/>
  <c r="G24" i="1"/>
  <c r="G26" i="1"/>
  <c r="G28" i="1"/>
  <c r="G29" i="1"/>
  <c r="G30" i="1"/>
  <c r="G22" i="1"/>
  <c r="G33" i="1"/>
  <c r="G32" i="1"/>
  <c r="G36" i="1"/>
  <c r="G37" i="1"/>
  <c r="G39" i="1"/>
  <c r="G41" i="1"/>
  <c r="G34" i="1"/>
  <c r="G43" i="1"/>
  <c r="F2" i="2"/>
  <c r="F3" i="2"/>
  <c r="F4" i="2"/>
  <c r="F6" i="2"/>
  <c r="F7" i="2"/>
  <c r="F8" i="2"/>
  <c r="F10" i="2"/>
  <c r="F12" i="2"/>
  <c r="F14" i="2"/>
  <c r="F15" i="2"/>
  <c r="F17" i="2"/>
  <c r="F18" i="2"/>
  <c r="F19" i="2"/>
  <c r="F20" i="2"/>
  <c r="F21" i="2"/>
  <c r="F22" i="2"/>
  <c r="F25" i="2"/>
  <c r="G44" i="1"/>
  <c r="G42" i="1"/>
  <c r="G46" i="1"/>
  <c r="G45" i="1"/>
  <c r="G55" i="1"/>
  <c r="G57" i="1"/>
  <c r="G60" i="1"/>
  <c r="G59" i="1"/>
  <c r="G126" i="1"/>
  <c r="G9" i="1"/>
  <c r="H69" i="1"/>
  <c r="H70" i="1"/>
  <c r="H78" i="4"/>
  <c r="H77" i="4"/>
  <c r="H76" i="4"/>
  <c r="H75" i="4"/>
  <c r="H74" i="4"/>
  <c r="H68" i="4"/>
  <c r="H67" i="4"/>
  <c r="H65" i="4"/>
  <c r="H64" i="4"/>
  <c r="H61" i="4"/>
  <c r="H60" i="4"/>
  <c r="H51" i="4"/>
  <c r="B138" i="1"/>
  <c r="B139" i="1"/>
  <c r="B140" i="1"/>
  <c r="D132" i="1"/>
  <c r="E73" i="1"/>
  <c r="D60" i="1"/>
  <c r="D131" i="1"/>
  <c r="F42" i="3"/>
  <c r="F31" i="3"/>
  <c r="F34" i="3"/>
  <c r="F35" i="3"/>
  <c r="F41" i="3"/>
  <c r="F43" i="3"/>
  <c r="E13" i="1"/>
  <c r="H13" i="1"/>
  <c r="G133" i="1"/>
  <c r="B142" i="1"/>
  <c r="B141" i="1"/>
  <c r="B144" i="1"/>
  <c r="H33" i="3"/>
  <c r="H26" i="3"/>
  <c r="H42" i="4"/>
  <c r="H50" i="4"/>
  <c r="H49" i="4"/>
  <c r="H48" i="4"/>
  <c r="H47" i="4"/>
  <c r="D114" i="1"/>
  <c r="H23" i="3"/>
  <c r="H22" i="3"/>
  <c r="H24" i="3"/>
  <c r="D20" i="1"/>
  <c r="D103" i="1"/>
  <c r="D88" i="1"/>
  <c r="D46" i="1"/>
  <c r="D30" i="1"/>
  <c r="D40" i="1"/>
  <c r="F83" i="4"/>
  <c r="F85" i="4"/>
  <c r="H9" i="4"/>
  <c r="E63" i="1"/>
  <c r="E12" i="1"/>
  <c r="H12" i="1"/>
  <c r="H24" i="4"/>
  <c r="H15" i="3"/>
  <c r="E58" i="1"/>
  <c r="E57" i="1"/>
  <c r="D19" i="1"/>
  <c r="H12" i="3"/>
  <c r="H13" i="3"/>
  <c r="H11" i="3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D95" i="1"/>
  <c r="H95" i="1"/>
  <c r="H96" i="1"/>
  <c r="H97" i="1"/>
  <c r="H98" i="1"/>
  <c r="D99" i="1"/>
  <c r="H99" i="1"/>
  <c r="H100" i="1"/>
  <c r="H101" i="1"/>
  <c r="H79" i="1"/>
  <c r="H78" i="1"/>
  <c r="H5" i="4"/>
  <c r="H6" i="4"/>
  <c r="H7" i="4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3" i="4"/>
  <c r="H44" i="4"/>
  <c r="H45" i="4"/>
  <c r="H46" i="4"/>
  <c r="H52" i="4"/>
  <c r="H53" i="4"/>
  <c r="H54" i="4"/>
  <c r="H55" i="4"/>
  <c r="H56" i="4"/>
  <c r="H57" i="4"/>
  <c r="H58" i="4"/>
  <c r="H59" i="4"/>
  <c r="H62" i="4"/>
  <c r="H63" i="4"/>
  <c r="H66" i="4"/>
  <c r="H69" i="4"/>
  <c r="H70" i="4"/>
  <c r="H71" i="4"/>
  <c r="H72" i="4"/>
  <c r="H73" i="4"/>
  <c r="H83" i="4"/>
  <c r="E26" i="2"/>
  <c r="D44" i="1"/>
  <c r="E42" i="1"/>
  <c r="E10" i="1"/>
  <c r="E14" i="1"/>
  <c r="E17" i="1"/>
  <c r="E22" i="1"/>
  <c r="E32" i="1"/>
  <c r="D37" i="1"/>
  <c r="E34" i="1"/>
  <c r="E45" i="1"/>
  <c r="E47" i="1"/>
  <c r="F9" i="1"/>
  <c r="H9" i="1"/>
  <c r="E77" i="1"/>
  <c r="D123" i="1"/>
  <c r="E102" i="1"/>
  <c r="F76" i="1"/>
  <c r="F59" i="1"/>
  <c r="E65" i="1"/>
  <c r="E68" i="1"/>
  <c r="F62" i="1"/>
  <c r="F126" i="1"/>
  <c r="D130" i="1"/>
  <c r="F128" i="1"/>
  <c r="F133" i="1"/>
  <c r="H133" i="1"/>
  <c r="H59" i="1"/>
  <c r="H62" i="1"/>
  <c r="H128" i="1"/>
  <c r="H132" i="1"/>
  <c r="H131" i="1"/>
  <c r="H130" i="1"/>
  <c r="H129" i="1"/>
  <c r="H126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05" i="1"/>
  <c r="H104" i="1"/>
  <c r="H103" i="1"/>
  <c r="H67" i="1"/>
  <c r="H66" i="1"/>
  <c r="H61" i="1"/>
  <c r="H60" i="1"/>
  <c r="H53" i="1"/>
  <c r="H52" i="1"/>
  <c r="H51" i="1"/>
  <c r="H50" i="1"/>
  <c r="H49" i="1"/>
  <c r="H48" i="1"/>
  <c r="H46" i="1"/>
  <c r="H43" i="1"/>
  <c r="H41" i="1"/>
  <c r="H39" i="1"/>
  <c r="H38" i="1"/>
  <c r="H37" i="1"/>
  <c r="H36" i="1"/>
  <c r="H35" i="1"/>
  <c r="H33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6" i="1"/>
  <c r="H15" i="1"/>
  <c r="E25" i="2"/>
  <c r="E27" i="2"/>
  <c r="H44" i="1"/>
  <c r="B5" i="1"/>
  <c r="C5" i="1"/>
  <c r="D5" i="1"/>
  <c r="E5" i="1"/>
  <c r="B6" i="1"/>
  <c r="C6" i="1"/>
  <c r="D6" i="1"/>
  <c r="E6" i="1"/>
  <c r="E7" i="1"/>
  <c r="H4" i="4"/>
  <c r="H4" i="3"/>
  <c r="H5" i="3"/>
  <c r="H6" i="3"/>
  <c r="H7" i="3"/>
  <c r="H8" i="3"/>
  <c r="H9" i="3"/>
  <c r="H10" i="3"/>
  <c r="H14" i="3"/>
  <c r="H16" i="3"/>
  <c r="H17" i="3"/>
  <c r="H18" i="3"/>
  <c r="H19" i="3"/>
  <c r="H20" i="3"/>
  <c r="H21" i="3"/>
  <c r="H25" i="3"/>
  <c r="H27" i="3"/>
  <c r="H28" i="3"/>
  <c r="H29" i="3"/>
  <c r="H30" i="3"/>
  <c r="H31" i="3"/>
  <c r="H32" i="3"/>
  <c r="H34" i="3"/>
  <c r="H35" i="3"/>
  <c r="H36" i="3"/>
  <c r="H37" i="3"/>
  <c r="H38" i="3"/>
  <c r="H39" i="3"/>
  <c r="H40" i="3"/>
  <c r="H41" i="3"/>
  <c r="F134" i="1"/>
  <c r="I128" i="1"/>
  <c r="I9" i="1"/>
  <c r="I59" i="1"/>
  <c r="I62" i="1"/>
  <c r="I76" i="1"/>
  <c r="I126" i="1"/>
  <c r="I133" i="1"/>
  <c r="H10" i="1"/>
  <c r="H63" i="1"/>
  <c r="H64" i="1"/>
  <c r="H65" i="1"/>
  <c r="H68" i="1"/>
  <c r="H71" i="1"/>
  <c r="H72" i="1"/>
  <c r="H73" i="1"/>
  <c r="H74" i="1"/>
  <c r="H75" i="1"/>
  <c r="H76" i="1"/>
  <c r="H77" i="1"/>
  <c r="H102" i="1"/>
  <c r="H127" i="1"/>
  <c r="H42" i="1"/>
  <c r="H45" i="1"/>
  <c r="H47" i="1"/>
  <c r="H54" i="1"/>
  <c r="H55" i="1"/>
  <c r="H56" i="1"/>
  <c r="H57" i="1"/>
  <c r="H58" i="1"/>
  <c r="H11" i="1"/>
  <c r="H14" i="1"/>
  <c r="H17" i="1"/>
  <c r="H22" i="1"/>
  <c r="H32" i="1"/>
  <c r="H34" i="1"/>
  <c r="D7" i="1"/>
  <c r="C7" i="1"/>
  <c r="B7" i="1"/>
</calcChain>
</file>

<file path=xl/comments1.xml><?xml version="1.0" encoding="utf-8"?>
<comments xmlns="http://schemas.openxmlformats.org/spreadsheetml/2006/main">
  <authors>
    <author>Connie McBride</author>
  </authors>
  <commentList>
    <comment ref="D19" authorId="0" shapeId="0">
      <text>
        <r>
          <rPr>
            <b/>
            <sz val="9"/>
            <color indexed="81"/>
            <rFont val="Arial"/>
          </rPr>
          <t>Connie McBride:</t>
        </r>
        <r>
          <rPr>
            <sz val="9"/>
            <color indexed="81"/>
            <rFont val="Arial"/>
          </rPr>
          <t xml:space="preserve">
Increased line item by $800.00. per Christian
</t>
        </r>
      </text>
    </comment>
    <comment ref="D20" authorId="0" shapeId="0">
      <text>
        <r>
          <rPr>
            <b/>
            <sz val="9"/>
            <color indexed="81"/>
            <rFont val="Arial"/>
          </rPr>
          <t>Connie McBride:</t>
        </r>
        <r>
          <rPr>
            <sz val="9"/>
            <color indexed="81"/>
            <rFont val="Arial"/>
          </rPr>
          <t xml:space="preserve">
Moved $4000.00 from unallocated to Student Leadership per Senate action #3.
Moved 10000.00 from unallocated to increase Student Leadership per Senate Action #13
</t>
        </r>
      </text>
    </comment>
    <comment ref="D30" authorId="0" shapeId="0">
      <text>
        <r>
          <rPr>
            <b/>
            <sz val="9"/>
            <color indexed="81"/>
            <rFont val="Arial"/>
          </rPr>
          <t>Connie McBride:</t>
        </r>
        <r>
          <rPr>
            <sz val="9"/>
            <color indexed="81"/>
            <rFont val="Arial"/>
          </rPr>
          <t xml:space="preserve">
Increase SOCC line items by 20% (4000.00) per Treasurer and Budget and Finance Committee.
</t>
        </r>
      </text>
    </comment>
    <comment ref="E58" authorId="0" shapeId="0">
      <text>
        <r>
          <rPr>
            <b/>
            <sz val="9"/>
            <color indexed="81"/>
            <rFont val="Arial"/>
          </rPr>
          <t>Connie McBride:</t>
        </r>
        <r>
          <rPr>
            <sz val="9"/>
            <color indexed="81"/>
            <rFont val="Arial"/>
          </rPr>
          <t xml:space="preserve">
Moved $4000.00 to unallocated and then back up to Sustainability. 10/24/16.per Senate Action 8 &amp; 9.
</t>
        </r>
      </text>
    </comment>
    <comment ref="D131" authorId="0" shapeId="0">
      <text>
        <r>
          <rPr>
            <b/>
            <sz val="9"/>
            <color indexed="81"/>
            <rFont val="Arial"/>
          </rPr>
          <t>Connie McBride:</t>
        </r>
        <r>
          <rPr>
            <sz val="9"/>
            <color indexed="81"/>
            <rFont val="Arial"/>
          </rPr>
          <t xml:space="preserve">
Add 7800.00 from VSA Program line item.
</t>
        </r>
      </text>
    </comment>
    <comment ref="D132" authorId="0" shapeId="0">
      <text>
        <r>
          <rPr>
            <b/>
            <sz val="9"/>
            <color indexed="81"/>
            <rFont val="Arial"/>
          </rPr>
          <t>Connie McBride:</t>
        </r>
        <r>
          <rPr>
            <sz val="9"/>
            <color indexed="81"/>
            <rFont val="Arial"/>
          </rPr>
          <t xml:space="preserve">
08/09/16 Increased Internal Vice President - Development line item by 20% ($800.00) per Christain.
Increased Phi Alpha travel by 660.00 (20%) per Christian 08/29/16.
Increase Early event fund by 20% ($1465.00) per Treasurer- Christian 09/02/16
Increased Society of Hispanic Engineers travel line by 20% ($1500.00) per Treasurer Christain 09/06/16.
Increase student payroll by $7751.25 (38.5%) per Treasurer.
Move $1000.00 to Director of Academic Reserch Grant line per Senate Action. Per senate action #2
Moved $4000.00 from unallocated to IVP Student Leadership and Civic Engagement line item. Senate Action #3 10/24/16
Move $4000.00 to Commission on Sustainabilites Funds. Senate Action 8 &amp; 9
Move $14000.00 to ICC line per Christian 10/25/16.
Move $4000.00 to Student of Color Conference per Treasurer and Budget and Finance Committee.
Move $3000.00 to Director of Student Advocacy per Senate Action #10 - 11/17/16.
Move $55000 to Senate Bill line per Senate Action #12 11/30/16.
Move $600.00 to Hermanos Unidos Travel line per Treasurer. 12/08/16
Move 550.00 to African Student Union event per Treasurer 12/08/16
Move 10000.00 to STudent Leadership line per senate action 13 12/14/16.
Move 3181.20 to Lambda Alliance RCO line item, per Budget and Finance Committee 02/09/17
Move 35000.00 to Senate Bill per Senate Action 14 02/16/17.
Move 21114.26  to New Services and Programs per Treasurer 03/06/17
Move 1400.00 to Bill 42 per Treasurer 03/07/17
Move 2300.00 to Bill 41 Per Treasurer 03/07/17
Move 900.00 to FSC Line item per Treasurer 03/09/17</t>
        </r>
      </text>
    </comment>
  </commentList>
</comments>
</file>

<file path=xl/comments2.xml><?xml version="1.0" encoding="utf-8"?>
<comments xmlns="http://schemas.openxmlformats.org/spreadsheetml/2006/main">
  <authors>
    <author>Connie McBride</author>
  </authors>
  <commentList>
    <comment ref="F43" authorId="0" shapeId="0">
      <text>
        <r>
          <rPr>
            <b/>
            <sz val="9"/>
            <color indexed="81"/>
            <rFont val="Arial"/>
          </rPr>
          <t>Connie McBride:</t>
        </r>
        <r>
          <rPr>
            <sz val="9"/>
            <color indexed="81"/>
            <rFont val="Arial"/>
          </rPr>
          <t xml:space="preserve">
Move 1381.85 to New Services and programs
</t>
        </r>
      </text>
    </comment>
  </commentList>
</comments>
</file>

<file path=xl/sharedStrings.xml><?xml version="1.0" encoding="utf-8"?>
<sst xmlns="http://schemas.openxmlformats.org/spreadsheetml/2006/main" count="706" uniqueCount="515">
  <si>
    <t>Number of Students</t>
  </si>
  <si>
    <t>ASUCM Fee</t>
  </si>
  <si>
    <t>Fee Amount</t>
  </si>
  <si>
    <t>Return-To-Aid (25%)</t>
  </si>
  <si>
    <t>Sub-Total after Return-To-Aid/ Semester Totals</t>
  </si>
  <si>
    <t>Budget in Detail</t>
  </si>
  <si>
    <t>Project ID</t>
  </si>
  <si>
    <t>Source ID</t>
  </si>
  <si>
    <t>Detail</t>
  </si>
  <si>
    <t>Total</t>
  </si>
  <si>
    <t>Section</t>
  </si>
  <si>
    <t>Spent</t>
  </si>
  <si>
    <t>Balance</t>
  </si>
  <si>
    <t>Goverment Operations</t>
  </si>
  <si>
    <t>GOVOPS</t>
  </si>
  <si>
    <t>UC Student Association</t>
  </si>
  <si>
    <t>UCSA</t>
  </si>
  <si>
    <t>ASUCM Payroll</t>
  </si>
  <si>
    <t>PAY 01</t>
  </si>
  <si>
    <t>ASUCM Compensation</t>
  </si>
  <si>
    <t>PAY 02</t>
  </si>
  <si>
    <t>ASUCM Student Payroll</t>
  </si>
  <si>
    <t>PAY 03</t>
  </si>
  <si>
    <t>President</t>
  </si>
  <si>
    <t>PRES</t>
  </si>
  <si>
    <t>General Fund</t>
  </si>
  <si>
    <t>PRESGF</t>
  </si>
  <si>
    <t>Travel Fund</t>
  </si>
  <si>
    <t>PRESTF</t>
  </si>
  <si>
    <t>Internal Vice-President</t>
  </si>
  <si>
    <t>IVP</t>
  </si>
  <si>
    <t>IVPGF</t>
  </si>
  <si>
    <t>ASUCM Elected and Appointed Officer Leadership Developement</t>
  </si>
  <si>
    <t>IVPET</t>
  </si>
  <si>
    <t>Student Leadership and Civic Engagement</t>
  </si>
  <si>
    <t>IVPLCE</t>
  </si>
  <si>
    <t>You See Leaders Conference</t>
  </si>
  <si>
    <t>IVPYSL</t>
  </si>
  <si>
    <t>External Vice-President</t>
  </si>
  <si>
    <t>EVP</t>
  </si>
  <si>
    <t>EVPGF</t>
  </si>
  <si>
    <t>EVP Travel</t>
  </si>
  <si>
    <t>EVPTRV</t>
  </si>
  <si>
    <t>EVP Federal Travel</t>
  </si>
  <si>
    <t>EVPFTRV</t>
  </si>
  <si>
    <t>EVP Events and Programs</t>
  </si>
  <si>
    <t>EVPEP</t>
  </si>
  <si>
    <t>Lobby Corps</t>
  </si>
  <si>
    <t>EVPLOB</t>
  </si>
  <si>
    <t>UCSA Board Meeting</t>
  </si>
  <si>
    <t>EVPBM</t>
  </si>
  <si>
    <t>UCSA Congress</t>
  </si>
  <si>
    <t>EVPCON</t>
  </si>
  <si>
    <t>Students of Color Confernce</t>
  </si>
  <si>
    <t>EVPSOCC</t>
  </si>
  <si>
    <t>Student Lobby Conference</t>
  </si>
  <si>
    <t>EVPSLC</t>
  </si>
  <si>
    <t>Treasurer</t>
  </si>
  <si>
    <t>TRES</t>
  </si>
  <si>
    <t>TRESGF</t>
  </si>
  <si>
    <t>Director of Academic Affairs</t>
  </si>
  <si>
    <t>ACAD</t>
  </si>
  <si>
    <t>AAGF</t>
  </si>
  <si>
    <t>Research Grants</t>
  </si>
  <si>
    <t>AARG</t>
  </si>
  <si>
    <t>Educational Resources</t>
  </si>
  <si>
    <t>AAER</t>
  </si>
  <si>
    <t>Study Hall/Study Programing</t>
  </si>
  <si>
    <t>AAEE</t>
  </si>
  <si>
    <t>Undergraduate Research Journal</t>
  </si>
  <si>
    <t>AAURJ</t>
  </si>
  <si>
    <t>Events/Programs</t>
  </si>
  <si>
    <t>AAEP</t>
  </si>
  <si>
    <t>Director of Student Activities</t>
  </si>
  <si>
    <t>ACT</t>
  </si>
  <si>
    <t>ACTGF</t>
  </si>
  <si>
    <t>RCO Early Event Fund</t>
  </si>
  <si>
    <t>ACTEEF</t>
  </si>
  <si>
    <t>Director of Advocacy</t>
  </si>
  <si>
    <t>ADVOC</t>
  </si>
  <si>
    <t>ADVOCGF</t>
  </si>
  <si>
    <t>Director of Communications</t>
  </si>
  <si>
    <t>COM</t>
  </si>
  <si>
    <t>COMGF</t>
  </si>
  <si>
    <t>ASUCM Paraphernalia</t>
  </si>
  <si>
    <t>COMPAR</t>
  </si>
  <si>
    <t>ASUCM Marketing</t>
  </si>
  <si>
    <t>COMMAR</t>
  </si>
  <si>
    <t>Xerox Color Cube Supply (OSL)</t>
  </si>
  <si>
    <t>COMOPY</t>
  </si>
  <si>
    <t>Office Supply</t>
  </si>
  <si>
    <t>COMSUP</t>
  </si>
  <si>
    <t>Events/Townhalls</t>
  </si>
  <si>
    <t>COMEVNT</t>
  </si>
  <si>
    <t>ASUCM Court</t>
  </si>
  <si>
    <t>COURTGF</t>
  </si>
  <si>
    <t>ASUCM Elections Commission</t>
  </si>
  <si>
    <t>ELECT</t>
  </si>
  <si>
    <t>ASUCM Commission on Diversity</t>
  </si>
  <si>
    <t>DIV</t>
  </si>
  <si>
    <t>ASUCM Commision on Sustainability</t>
  </si>
  <si>
    <t>SUS</t>
  </si>
  <si>
    <t>ASUCM Commission on Neighborhood Relations</t>
  </si>
  <si>
    <t>NR</t>
  </si>
  <si>
    <t>ASUCM New Programs and Services</t>
  </si>
  <si>
    <t>NPS</t>
  </si>
  <si>
    <t>ASUCM New Programs and Services General Fund</t>
  </si>
  <si>
    <t>NPSGF</t>
  </si>
  <si>
    <t>ASUCM Speaker Series</t>
  </si>
  <si>
    <t>NPSSS</t>
  </si>
  <si>
    <t>ASUCM Services and Programs</t>
  </si>
  <si>
    <t>SP</t>
  </si>
  <si>
    <t>Inter-Club Council</t>
  </si>
  <si>
    <t>ICCGF</t>
  </si>
  <si>
    <t>ICC#</t>
  </si>
  <si>
    <t>Law Clinic</t>
  </si>
  <si>
    <t>LAW</t>
  </si>
  <si>
    <t>Information Technology</t>
  </si>
  <si>
    <t>IT</t>
  </si>
  <si>
    <t>Audio &amp; Visual Technical Support for Student Events</t>
  </si>
  <si>
    <t>ITAV</t>
  </si>
  <si>
    <t>Print Credits</t>
  </si>
  <si>
    <t>ITPC</t>
  </si>
  <si>
    <t>Office of Student Life</t>
  </si>
  <si>
    <t>OSL</t>
  </si>
  <si>
    <t>LeaderShape Conference</t>
  </si>
  <si>
    <t>LSC</t>
  </si>
  <si>
    <t>Social Justice Retreat</t>
  </si>
  <si>
    <t>SJR</t>
  </si>
  <si>
    <t>Police Citizen Academy</t>
  </si>
  <si>
    <t>PCA</t>
  </si>
  <si>
    <t>The Prodigy</t>
  </si>
  <si>
    <t>PRO</t>
  </si>
  <si>
    <t>Fraternity and Sorority Council</t>
  </si>
  <si>
    <t>FSC</t>
  </si>
  <si>
    <t>Facilities</t>
  </si>
  <si>
    <t>FAC</t>
  </si>
  <si>
    <t>Police Mentor Program</t>
  </si>
  <si>
    <t>PCM</t>
  </si>
  <si>
    <t>Registered Clubs and Organizations</t>
  </si>
  <si>
    <t>RCO</t>
  </si>
  <si>
    <t>Travel Fund: Confernces, Trips, Etc.</t>
  </si>
  <si>
    <t>TRV</t>
  </si>
  <si>
    <t>AIAA</t>
  </si>
  <si>
    <t>AIAA TRV</t>
  </si>
  <si>
    <t>Alpha Kappa Psi: PBLI</t>
  </si>
  <si>
    <t>AKPSI TRV</t>
  </si>
  <si>
    <t>American Society of Mechanical Engineers</t>
  </si>
  <si>
    <t>ASME TRV</t>
  </si>
  <si>
    <t xml:space="preserve"> </t>
  </si>
  <si>
    <t>American Medical Student Association: UC Davis</t>
  </si>
  <si>
    <t>AMSA TRV</t>
  </si>
  <si>
    <t>Biomedical Engineer Society: BMES Annual Meeting</t>
  </si>
  <si>
    <t>BMES TRV</t>
  </si>
  <si>
    <t xml:space="preserve">Black Student Union: ABC </t>
  </si>
  <si>
    <t>BSU TRV</t>
  </si>
  <si>
    <t>Business Society: Fame Investment Conference</t>
  </si>
  <si>
    <t>BS TRV</t>
  </si>
  <si>
    <t>Catholic Newman Club</t>
  </si>
  <si>
    <t>CNC TRV</t>
  </si>
  <si>
    <t>Democrats of UC Merced: California Democrats Convention</t>
  </si>
  <si>
    <t>DEM TRV</t>
  </si>
  <si>
    <t>Hermanas Unidas: Statewide Conference</t>
  </si>
  <si>
    <t>HRMA TRV</t>
  </si>
  <si>
    <t>Hermanos Unidos: National Conference</t>
  </si>
  <si>
    <t>HRMN TRV</t>
  </si>
  <si>
    <t>Intervarsity</t>
  </si>
  <si>
    <t>IV TRV</t>
  </si>
  <si>
    <t>LAMBDA Alliance</t>
  </si>
  <si>
    <t>LAMBDA TRV</t>
  </si>
  <si>
    <t>Latino Associated Students</t>
  </si>
  <si>
    <t>LAS TRV</t>
  </si>
  <si>
    <t>Merced Chi Alpha</t>
  </si>
  <si>
    <t>CHIALP TRV</t>
  </si>
  <si>
    <t>National Society of Black Engineers (NSBE): National Confereence</t>
  </si>
  <si>
    <t>NSBE TRV</t>
  </si>
  <si>
    <t>National Society of Collegiate Scholars: Scholarcon 2017</t>
  </si>
  <si>
    <t>NSCS TRV</t>
  </si>
  <si>
    <t>Phi Alpha Delta: P.A.D Leadership Conference</t>
  </si>
  <si>
    <t>PAD TRV</t>
  </si>
  <si>
    <t>Pilipino American Alliance: Friendship Games</t>
  </si>
  <si>
    <t>PAA TRV</t>
  </si>
  <si>
    <t>Pre-Optometry Club</t>
  </si>
  <si>
    <t>PREOP TRV</t>
  </si>
  <si>
    <t>SACNAS at UC Merced: National Conference</t>
  </si>
  <si>
    <t>SACNAS TRV</t>
  </si>
  <si>
    <t>Society of Hispanic Professional Engineers</t>
  </si>
  <si>
    <t>SHPE TRV</t>
  </si>
  <si>
    <t>Society of Women Engineers: National Conference</t>
  </si>
  <si>
    <t>SWE TRV</t>
  </si>
  <si>
    <t>UNICEF Travel</t>
  </si>
  <si>
    <t>UNCIEF TRV</t>
  </si>
  <si>
    <t>Campus Events, Programs, &amp; Services</t>
  </si>
  <si>
    <t>African Student Union: Culture Night</t>
  </si>
  <si>
    <t xml:space="preserve">ASU </t>
  </si>
  <si>
    <t>Afro Terrace Learning Community: Black Family Day</t>
  </si>
  <si>
    <t>AFRO</t>
  </si>
  <si>
    <t>Association for Computer Machinery</t>
  </si>
  <si>
    <t>COMP</t>
  </si>
  <si>
    <t>Black Graduation Committee</t>
  </si>
  <si>
    <t>BGC</t>
  </si>
  <si>
    <t>Business Society: Haunted House</t>
  </si>
  <si>
    <t>BS</t>
  </si>
  <si>
    <t>Colleges Against Cancer</t>
  </si>
  <si>
    <t>CAC</t>
  </si>
  <si>
    <t>Distinguished Ladies</t>
  </si>
  <si>
    <t>DSL</t>
  </si>
  <si>
    <t>Division Workshops: Fall/Spring Workshop and Summer Workshop</t>
  </si>
  <si>
    <t>El Club de Espanol</t>
  </si>
  <si>
    <t>ECDE</t>
  </si>
  <si>
    <t>Hip Hop Movement Programs</t>
  </si>
  <si>
    <t>HHM</t>
  </si>
  <si>
    <t>Hmong Student Association</t>
  </si>
  <si>
    <t>HSA</t>
  </si>
  <si>
    <t>LAMBA Alliance: Lavendar Graduation and Pride Week</t>
  </si>
  <si>
    <t>LAMBDA</t>
  </si>
  <si>
    <t>Merced Pre-Law Society: Day in the Life of a Lawyer</t>
  </si>
  <si>
    <t>MPLS</t>
  </si>
  <si>
    <t>Muslim Student Association</t>
  </si>
  <si>
    <t>MSA</t>
  </si>
  <si>
    <t>Ohana: Luau</t>
  </si>
  <si>
    <t>OHNA</t>
  </si>
  <si>
    <t>Phi Alpha Delta: Law Day</t>
  </si>
  <si>
    <t>PAD</t>
  </si>
  <si>
    <t>Pilipino American Alliance: Pilipino Culture Night</t>
  </si>
  <si>
    <t>PAA</t>
  </si>
  <si>
    <t>Psi Chi: Western Psychological Association</t>
  </si>
  <si>
    <t>PSICHI</t>
  </si>
  <si>
    <t>Society fo Women Engineers: Expand Your Horizons</t>
  </si>
  <si>
    <t>SWE</t>
  </si>
  <si>
    <t>South Asian Student Association</t>
  </si>
  <si>
    <t>SASA</t>
  </si>
  <si>
    <t>Students Advocating Law and Education at UC Merced</t>
  </si>
  <si>
    <t>SALE</t>
  </si>
  <si>
    <t>The Entreprenuership Society at UC Merced</t>
  </si>
  <si>
    <t>TESUM</t>
  </si>
  <si>
    <t>UC Merced Student Alumni Association</t>
  </si>
  <si>
    <t>UCMSAA</t>
  </si>
  <si>
    <t>Vietnamese Student Association</t>
  </si>
  <si>
    <t>Savings &amp; Investments</t>
  </si>
  <si>
    <t>SAVING</t>
  </si>
  <si>
    <t>Student Union</t>
  </si>
  <si>
    <t>SUNION</t>
  </si>
  <si>
    <t>GENFUND</t>
  </si>
  <si>
    <t>Petty Cash Reserves</t>
  </si>
  <si>
    <t>PETTY</t>
  </si>
  <si>
    <t>Contingency</t>
  </si>
  <si>
    <t>CT(BILL#)</t>
  </si>
  <si>
    <t>BILL#</t>
  </si>
  <si>
    <t xml:space="preserve">Unallocated </t>
  </si>
  <si>
    <t>Totals Budgeted</t>
  </si>
  <si>
    <t>Total Funds Available</t>
  </si>
  <si>
    <t>OSL USE ONLY:</t>
  </si>
  <si>
    <t>Carry Forward 2016</t>
  </si>
  <si>
    <t>Union Savings</t>
  </si>
  <si>
    <t>Last year expenses hitting ledger late</t>
  </si>
  <si>
    <t>Actual Carry Forward</t>
  </si>
  <si>
    <t>Appropriations  07/15</t>
  </si>
  <si>
    <t>YTD Spending</t>
  </si>
  <si>
    <t>Encumbrance</t>
  </si>
  <si>
    <t>Ledger balance</t>
  </si>
  <si>
    <t>Date</t>
  </si>
  <si>
    <t>Event Date</t>
  </si>
  <si>
    <t>Name</t>
  </si>
  <si>
    <t>Club</t>
  </si>
  <si>
    <t>Allocated</t>
  </si>
  <si>
    <t>A.C.C.E.S.S.</t>
  </si>
  <si>
    <t>UCSAA</t>
  </si>
  <si>
    <t>RCO Fair</t>
  </si>
  <si>
    <t>Lamda</t>
  </si>
  <si>
    <t>Bisexuality Day</t>
  </si>
  <si>
    <t>Intersex Awareness Week</t>
  </si>
  <si>
    <t>Intersex Awareness Day</t>
  </si>
  <si>
    <t>Fall Semester</t>
  </si>
  <si>
    <t>Professional Development Series</t>
  </si>
  <si>
    <t>DYM</t>
  </si>
  <si>
    <t>Afro Retreat</t>
  </si>
  <si>
    <t>Afro Terrace</t>
  </si>
  <si>
    <t>S'mores event</t>
  </si>
  <si>
    <t>Dance Co</t>
  </si>
  <si>
    <t>Afrikans for Retention Ice Cream</t>
  </si>
  <si>
    <t>Glimpse into Engineering</t>
  </si>
  <si>
    <t>Materials Research</t>
  </si>
  <si>
    <t>Annual Welcome event</t>
  </si>
  <si>
    <t xml:space="preserve">DL </t>
  </si>
  <si>
    <t>Social event</t>
  </si>
  <si>
    <t>ASU</t>
  </si>
  <si>
    <t>Social Event</t>
  </si>
  <si>
    <t>SASE</t>
  </si>
  <si>
    <t>New member Auditions</t>
  </si>
  <si>
    <t>Symphonics Acapella</t>
  </si>
  <si>
    <t>Dinner with a Scientist</t>
  </si>
  <si>
    <t>Mariposa youth Impact Program</t>
  </si>
  <si>
    <t>Rainbow Mixer</t>
  </si>
  <si>
    <t>Lamda Alliance</t>
  </si>
  <si>
    <t>Game Night</t>
  </si>
  <si>
    <t>Circle K</t>
  </si>
  <si>
    <t>Honoring Project Leader</t>
  </si>
  <si>
    <t>Engineers for Sustatiable World</t>
  </si>
  <si>
    <t>Resources for Freshman</t>
  </si>
  <si>
    <t>Black Student Union</t>
  </si>
  <si>
    <t>Learn Engine Mechanics</t>
  </si>
  <si>
    <t>Automotive Club</t>
  </si>
  <si>
    <t>Total Given</t>
  </si>
  <si>
    <t>Funding Available</t>
  </si>
  <si>
    <t>Bill Name</t>
  </si>
  <si>
    <t>Event Date</t>
    <phoneticPr fontId="1" type="noConversion"/>
  </si>
  <si>
    <t>Org.Name</t>
  </si>
  <si>
    <t>Amount Granted</t>
  </si>
  <si>
    <t>Amount Spent</t>
  </si>
  <si>
    <t>Left Over</t>
  </si>
  <si>
    <t>Hospital Medicine Program Abroad</t>
  </si>
  <si>
    <t>AMSA</t>
  </si>
  <si>
    <t>SASE National Conference</t>
  </si>
  <si>
    <t>10/13-15,2016</t>
  </si>
  <si>
    <t>Society of Asian Scientist &amp; Engineers</t>
  </si>
  <si>
    <t>Fall Training Conference</t>
  </si>
  <si>
    <t>Circle K International</t>
  </si>
  <si>
    <t>Blackrock Tour</t>
  </si>
  <si>
    <t>Alpha Kappa Psi</t>
  </si>
  <si>
    <t>USC  Model United Nations Conference</t>
  </si>
  <si>
    <t>Oct 27-30th</t>
  </si>
  <si>
    <t>LEAD Conference</t>
  </si>
  <si>
    <t>Delta Sigma Pi</t>
  </si>
  <si>
    <t>Nicaragua</t>
  </si>
  <si>
    <t>Jan7-14th,2017</t>
  </si>
  <si>
    <t>Global Medical Training Chapter</t>
  </si>
  <si>
    <t>Physcon</t>
  </si>
  <si>
    <t>Society of Physics Students</t>
  </si>
  <si>
    <t>Bakery Monthly Event</t>
  </si>
  <si>
    <t>Bakery Club</t>
  </si>
  <si>
    <t xml:space="preserve">Domestic Violence 101 Game </t>
  </si>
  <si>
    <t>Voices</t>
  </si>
  <si>
    <t>Orange Pumpkin Open Chess T</t>
  </si>
  <si>
    <t>Chess Club</t>
  </si>
  <si>
    <t>Journey Conference</t>
  </si>
  <si>
    <t>Intervarsity Christian Fellow</t>
  </si>
  <si>
    <t>DRS Flight Intro</t>
  </si>
  <si>
    <t>Drone Research Society</t>
  </si>
  <si>
    <t>Friendship Day</t>
  </si>
  <si>
    <t>SAA</t>
  </si>
  <si>
    <t>Bobcat Attack</t>
  </si>
  <si>
    <t>Rotaract</t>
  </si>
  <si>
    <t>Fall Stargazing</t>
  </si>
  <si>
    <t>Astronomy Club</t>
  </si>
  <si>
    <t>Region 6 Fall Regional Conference</t>
  </si>
  <si>
    <t>National Society of Black Engineers</t>
  </si>
  <si>
    <t>The Psychology of Evil</t>
  </si>
  <si>
    <t>Psi Chi</t>
  </si>
  <si>
    <t>League of Legends World Champions Finals Viewing Party</t>
  </si>
  <si>
    <t>League of Legends Club</t>
  </si>
  <si>
    <t>Spooky Cupcake Social</t>
  </si>
  <si>
    <t>Lambda Alliance</t>
  </si>
  <si>
    <t>2016 Yuba City Nagar Kirtan</t>
  </si>
  <si>
    <t>Sikh Student Association</t>
  </si>
  <si>
    <t>Senate Bill</t>
  </si>
  <si>
    <t>AIAA Rocket Division</t>
  </si>
  <si>
    <t>2016-17</t>
  </si>
  <si>
    <t>American Institute of Aeronautics</t>
  </si>
  <si>
    <t>Seek Conference</t>
  </si>
  <si>
    <t>Jan 3-7, 2017</t>
  </si>
  <si>
    <t>Good Samaritan Mission</t>
  </si>
  <si>
    <t>July 6-22, 2017</t>
  </si>
  <si>
    <t>UVSA Leadership Summit</t>
  </si>
  <si>
    <t>Nov 18-20, 2016</t>
  </si>
  <si>
    <t>Dia de los Muertos</t>
  </si>
  <si>
    <t>MECHA</t>
  </si>
  <si>
    <t>UC Merced Blitz Tournament</t>
  </si>
  <si>
    <t>Delta Sigma Pi Founder's Day</t>
  </si>
  <si>
    <t>Delta sigma Pi</t>
  </si>
  <si>
    <t>SAA Thjanksgiving Bonding</t>
  </si>
  <si>
    <t>Student Alumni Associations</t>
  </si>
  <si>
    <t>Bobcat Model United Nations</t>
  </si>
  <si>
    <t>Model United Nations Conference</t>
  </si>
  <si>
    <t>North American Open Ches Tournament</t>
  </si>
  <si>
    <t>Dec 26-30, 2016</t>
  </si>
  <si>
    <t>Saving Lives with Sigma Chi and AMSA</t>
  </si>
  <si>
    <t>SIGMa, AMSA, Red Cross Club</t>
  </si>
  <si>
    <t>Friendsgiving Tea Party</t>
  </si>
  <si>
    <t>Bobcat Theater Fall Production</t>
  </si>
  <si>
    <t>Bobcat Theater</t>
  </si>
  <si>
    <t>Trans Day of Remembrance</t>
  </si>
  <si>
    <t>Design Build Fly</t>
  </si>
  <si>
    <t>Apr 20-23, 2017</t>
  </si>
  <si>
    <t>Student Panel</t>
  </si>
  <si>
    <t>Ingenerios Unidos</t>
  </si>
  <si>
    <t>Chi Alpha Leadership Summit 2017</t>
  </si>
  <si>
    <t>Jan 4-7,2017</t>
  </si>
  <si>
    <t>Student Nutrition</t>
  </si>
  <si>
    <t>Noche de Baile</t>
  </si>
  <si>
    <t>El Club de Españo</t>
  </si>
  <si>
    <t>Worlds Aids Day</t>
  </si>
  <si>
    <t>Conference Etiquette</t>
  </si>
  <si>
    <t>Ingenieros Unidos</t>
  </si>
  <si>
    <t>Arts Aids Access</t>
  </si>
  <si>
    <t>Arthouse Merced</t>
  </si>
  <si>
    <t>2016-17 Line item allocation</t>
  </si>
  <si>
    <t>Undergraduate Research Symposium</t>
  </si>
  <si>
    <t>AAURJS</t>
  </si>
  <si>
    <t>Annual Universal Childrens Day</t>
  </si>
  <si>
    <t>UNICEF</t>
  </si>
  <si>
    <t>Bright Smiles, Bright Hearts</t>
  </si>
  <si>
    <t>Promise</t>
  </si>
  <si>
    <t>Cognitive Science Students Assoc.</t>
  </si>
  <si>
    <t>Research Equipment</t>
  </si>
  <si>
    <t>16-17</t>
  </si>
  <si>
    <t>Ctrl-Alt-Del Reboot</t>
  </si>
  <si>
    <t>End of the Year Social</t>
  </si>
  <si>
    <t>Society of Asian Scientest &amp; Engineers</t>
  </si>
  <si>
    <t>BSU Black &amp; Brown Nationalism</t>
  </si>
  <si>
    <t>ACCESS</t>
  </si>
  <si>
    <t>Philanthropy Week</t>
  </si>
  <si>
    <t>SASE Regional Conference 2017</t>
  </si>
  <si>
    <t>Leadership and Excellence Academies</t>
  </si>
  <si>
    <t>Feb 24-26, 2017</t>
  </si>
  <si>
    <t>Jan 27-29, 2017</t>
  </si>
  <si>
    <t>3-day Davis Model UN Conference</t>
  </si>
  <si>
    <t>Dance Technical Dance Classes</t>
  </si>
  <si>
    <t>Spring Semester</t>
  </si>
  <si>
    <t>Dance Coalition Club</t>
  </si>
  <si>
    <t>Jan 13-15th,2016</t>
  </si>
  <si>
    <t>19th Annual MSA West Conference</t>
  </si>
  <si>
    <t>The Evolution of College II Speaker</t>
  </si>
  <si>
    <t>Feb 24,2017</t>
  </si>
  <si>
    <t>Hmong National Development Conf</t>
  </si>
  <si>
    <t>04/21-04/23/16</t>
  </si>
  <si>
    <t>Hmong Student Assocation</t>
  </si>
  <si>
    <t>California Academy of Nutrition Conference</t>
  </si>
  <si>
    <t>Apr26-29,2017</t>
  </si>
  <si>
    <t>SACNAS for SNA</t>
  </si>
  <si>
    <t>Robogames 2017</t>
  </si>
  <si>
    <t>Robotics Society</t>
  </si>
  <si>
    <t>VSA</t>
  </si>
  <si>
    <t>Speed Mentoring</t>
  </si>
  <si>
    <t>Vanguard Tour</t>
  </si>
  <si>
    <t>Business Society</t>
  </si>
  <si>
    <t>Astronomy Club Stargazing</t>
  </si>
  <si>
    <t>Annual Stich Up</t>
  </si>
  <si>
    <t>MAPS &amp; GMT</t>
  </si>
  <si>
    <t>HackMerced</t>
  </si>
  <si>
    <t>Black History Remembrance</t>
  </si>
  <si>
    <t>Democrats Club</t>
  </si>
  <si>
    <t>Circle K District Convention</t>
  </si>
  <si>
    <t>Mar. 17-19, 2017</t>
  </si>
  <si>
    <t>DJ Equipment HHm</t>
  </si>
  <si>
    <t>Hip Hop Movement</t>
  </si>
  <si>
    <t>1st Annual Splash Conference</t>
  </si>
  <si>
    <t>Generation to Generation</t>
  </si>
  <si>
    <t>DYW Scholarship Night</t>
  </si>
  <si>
    <t>Disinguished Young Women</t>
  </si>
  <si>
    <t>DEM 8th Annual Health Social</t>
  </si>
  <si>
    <t>Delta Epsilon Mu</t>
  </si>
  <si>
    <t>Los Angels Model United Nations</t>
  </si>
  <si>
    <t>04/20-4/24</t>
  </si>
  <si>
    <t>Prometheus Repairs</t>
  </si>
  <si>
    <t>Feb 22-25,2017</t>
  </si>
  <si>
    <t>College Republicans</t>
  </si>
  <si>
    <t>UC Merced Raza Youth Conference</t>
  </si>
  <si>
    <t>Mar. 25- Apr 1</t>
  </si>
  <si>
    <t>Public Helath Society</t>
  </si>
  <si>
    <t>Spring Session of Project Amazonas</t>
  </si>
  <si>
    <t>Host Tim Augustine</t>
  </si>
  <si>
    <t>??</t>
  </si>
  <si>
    <t>Western Class Championship</t>
  </si>
  <si>
    <t>Chess club</t>
  </si>
  <si>
    <t>Film Screening</t>
  </si>
  <si>
    <t>Afrikans for Retention and Outreadh</t>
  </si>
  <si>
    <t>The Evidence of Christ</t>
  </si>
  <si>
    <t>How to Go About Exams</t>
  </si>
  <si>
    <t>Trip to Washington DC</t>
  </si>
  <si>
    <t>Mar 28 - Apr 1</t>
  </si>
  <si>
    <t>Phi Alpha Delta</t>
  </si>
  <si>
    <t>2017 Esw Annual Conference</t>
  </si>
  <si>
    <t>Engineers for a Sustainable World</t>
  </si>
  <si>
    <t>2nd Event</t>
  </si>
  <si>
    <t>End Human Trafficking</t>
  </si>
  <si>
    <t xml:space="preserve">UNICEF </t>
  </si>
  <si>
    <t>MSA Annual BBQ</t>
  </si>
  <si>
    <t>Public Health Career Panel</t>
  </si>
  <si>
    <t>Public Health Society</t>
  </si>
  <si>
    <t>2017 USCF National Open Chess Tournam</t>
  </si>
  <si>
    <t>June 15-19th</t>
  </si>
  <si>
    <t>Model Arab League</t>
  </si>
  <si>
    <t>Apr 7-9th, 2017</t>
  </si>
  <si>
    <t>Theta Tau Professional Engineering Frat</t>
  </si>
  <si>
    <t>Locking Skateboard Rack</t>
  </si>
  <si>
    <t>6th Annual Pharmacy Banquet</t>
  </si>
  <si>
    <t>Pre-Pharmacy Club</t>
  </si>
  <si>
    <t>2017 Gauntlet</t>
  </si>
  <si>
    <t>Pilipino American Alliance</t>
  </si>
  <si>
    <t>2nd Annual Changing the Rules</t>
  </si>
  <si>
    <t>VOICES</t>
  </si>
  <si>
    <t>The Anatomy of a Healthy Leader</t>
  </si>
  <si>
    <t>SASE Yosemite Trip</t>
  </si>
  <si>
    <t>Dr. Bedford Grad School and Social Justice Lecture</t>
  </si>
  <si>
    <t>Yoga Club</t>
  </si>
  <si>
    <t>Black Ball</t>
  </si>
  <si>
    <t>Healthy Smeinar Series</t>
  </si>
  <si>
    <t>Student Nutrition Association</t>
  </si>
  <si>
    <t>Wall of Prejudice</t>
  </si>
  <si>
    <t xml:space="preserve">Pi Lambda Phi Fraternity </t>
  </si>
  <si>
    <t>Fabulosity Drag Show</t>
  </si>
  <si>
    <t>Film Screening: Moonlight</t>
  </si>
  <si>
    <t>UCM Yosemite National Park Project 2</t>
  </si>
  <si>
    <t>Earth Club</t>
  </si>
  <si>
    <t>11th Annual NCPPS Conference</t>
  </si>
  <si>
    <t>NASC Pow Wow and Annual Retreat</t>
  </si>
  <si>
    <t>Native American Student Coalition</t>
  </si>
  <si>
    <t>Earth Club Rescue Farm Project</t>
  </si>
  <si>
    <t>Networking Your Way to Success</t>
  </si>
  <si>
    <t xml:space="preserve">Psychology Panel </t>
  </si>
  <si>
    <t xml:space="preserve">Nigerian Students Coalition Conference </t>
  </si>
  <si>
    <t>African Student Union</t>
  </si>
  <si>
    <t>Conservative Political Action Conference</t>
  </si>
  <si>
    <t> ASUCM BUDGET FOR THE YEAR 2016-17 AS of  04/04/17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</si>
</sst>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mm/dd/yy"/>
    <numFmt numFmtId="168" formatCode="mm/dd/yy;@"/>
  </numFmts>
  <fonts count="21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name val="Arial"/>
    </font>
    <font>
      <sz val="12"/>
      <color theme="0"/>
      <name val="Arial"/>
    </font>
    <font>
      <sz val="12"/>
      <color rgb="FFFF0000"/>
      <name val="Arial"/>
    </font>
    <font>
      <b/>
      <sz val="12"/>
      <name val="Arial"/>
    </font>
    <font>
      <sz val="14"/>
      <name val="Verdana"/>
      <family val="2"/>
    </font>
    <font>
      <sz val="10"/>
      <color indexed="9"/>
      <name val="Verdana"/>
      <family val="2"/>
    </font>
    <font>
      <sz val="14"/>
      <color rgb="FFFF0000"/>
      <name val="Verdana"/>
    </font>
    <font>
      <b/>
      <sz val="16"/>
      <name val="Arial"/>
    </font>
    <font>
      <sz val="9"/>
      <color indexed="81"/>
      <name val="Arial"/>
    </font>
    <font>
      <b/>
      <sz val="9"/>
      <color indexed="81"/>
      <name val="Arial"/>
    </font>
    <font>
      <sz val="10"/>
      <color rgb="FFFF0000"/>
      <name val="Arial"/>
    </font>
    <font>
      <sz val="14"/>
      <color rgb="FF000000"/>
      <name val="Verdana"/>
    </font>
    <font>
      <sz val="12"/>
      <color rgb="FF000000"/>
      <name val="Verdana"/>
    </font>
  </fonts>
  <fills count="15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  <fill>
      <patternFill patternType="solid">
        <fgColor rgb="FF0000FF"/>
        <bgColor rgb="FF0000FF"/>
      </patternFill>
    </fill>
    <fill>
      <patternFill patternType="solid">
        <fgColor rgb="FF6FA8DC"/>
        <bgColor rgb="FF6FA8D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8">
    <xf numFmtId="0" fontId="0" fillId="0" borderId="0" xfId="0" applyFont="1" applyAlignment="1"/>
    <xf numFmtId="14" fontId="0" fillId="0" borderId="0" xfId="0" applyNumberFormat="1" applyFont="1" applyAlignment="1"/>
    <xf numFmtId="165" fontId="0" fillId="0" borderId="0" xfId="0" applyNumberFormat="1" applyFont="1" applyAlignment="1"/>
    <xf numFmtId="0" fontId="6" fillId="0" borderId="0" xfId="0" applyFont="1" applyFill="1" applyAlignment="1"/>
    <xf numFmtId="0" fontId="7" fillId="0" borderId="0" xfId="0" applyFont="1" applyFill="1" applyAlignment="1"/>
    <xf numFmtId="166" fontId="9" fillId="3" borderId="0" xfId="0" applyNumberFormat="1" applyFont="1" applyFill="1" applyAlignment="1"/>
    <xf numFmtId="0" fontId="9" fillId="3" borderId="0" xfId="0" applyFont="1" applyFill="1" applyAlignment="1"/>
    <xf numFmtId="10" fontId="6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0" fontId="8" fillId="7" borderId="1" xfId="0" applyFont="1" applyFill="1" applyBorder="1" applyAlignment="1"/>
    <xf numFmtId="3" fontId="8" fillId="7" borderId="2" xfId="0" applyNumberFormat="1" applyFont="1" applyFill="1" applyBorder="1" applyAlignment="1"/>
    <xf numFmtId="0" fontId="8" fillId="7" borderId="5" xfId="0" applyFont="1" applyFill="1" applyBorder="1" applyAlignment="1"/>
    <xf numFmtId="0" fontId="8" fillId="7" borderId="3" xfId="0" applyFont="1" applyFill="1" applyBorder="1" applyAlignment="1"/>
    <xf numFmtId="166" fontId="8" fillId="7" borderId="0" xfId="0" applyNumberFormat="1" applyFont="1" applyFill="1" applyBorder="1" applyAlignment="1"/>
    <xf numFmtId="0" fontId="8" fillId="7" borderId="6" xfId="0" applyFont="1" applyFill="1" applyBorder="1" applyAlignment="1"/>
    <xf numFmtId="166" fontId="8" fillId="7" borderId="6" xfId="0" applyNumberFormat="1" applyFont="1" applyFill="1" applyBorder="1" applyAlignment="1"/>
    <xf numFmtId="0" fontId="8" fillId="7" borderId="7" xfId="0" applyFont="1" applyFill="1" applyBorder="1" applyAlignment="1"/>
    <xf numFmtId="166" fontId="8" fillId="7" borderId="8" xfId="0" applyNumberFormat="1" applyFont="1" applyFill="1" applyBorder="1" applyAlignment="1"/>
    <xf numFmtId="166" fontId="8" fillId="7" borderId="9" xfId="0" applyNumberFormat="1" applyFont="1" applyFill="1" applyBorder="1" applyAlignment="1"/>
    <xf numFmtId="0" fontId="8" fillId="2" borderId="3" xfId="0" applyFont="1" applyFill="1" applyBorder="1" applyAlignment="1"/>
    <xf numFmtId="0" fontId="8" fillId="2" borderId="0" xfId="0" applyFont="1" applyFill="1" applyAlignment="1"/>
    <xf numFmtId="0" fontId="8" fillId="0" borderId="4" xfId="0" applyFont="1" applyBorder="1" applyAlignment="1"/>
    <xf numFmtId="166" fontId="8" fillId="0" borderId="4" xfId="0" applyNumberFormat="1" applyFont="1" applyBorder="1" applyAlignment="1"/>
    <xf numFmtId="166" fontId="6" fillId="0" borderId="4" xfId="0" applyNumberFormat="1" applyFont="1" applyBorder="1" applyAlignment="1"/>
    <xf numFmtId="0" fontId="9" fillId="3" borderId="4" xfId="0" applyFont="1" applyFill="1" applyBorder="1" applyAlignment="1"/>
    <xf numFmtId="166" fontId="9" fillId="3" borderId="4" xfId="0" applyNumberFormat="1" applyFont="1" applyFill="1" applyBorder="1" applyAlignment="1"/>
    <xf numFmtId="0" fontId="8" fillId="4" borderId="4" xfId="0" applyFont="1" applyFill="1" applyBorder="1" applyAlignment="1"/>
    <xf numFmtId="166" fontId="8" fillId="4" borderId="4" xfId="0" applyNumberFormat="1" applyFont="1" applyFill="1" applyBorder="1" applyAlignment="1"/>
    <xf numFmtId="166" fontId="6" fillId="8" borderId="4" xfId="0" applyNumberFormat="1" applyFont="1" applyFill="1" applyBorder="1" applyAlignment="1"/>
    <xf numFmtId="0" fontId="8" fillId="5" borderId="4" xfId="0" applyFont="1" applyFill="1" applyBorder="1" applyAlignment="1"/>
    <xf numFmtId="166" fontId="8" fillId="5" borderId="4" xfId="0" applyNumberFormat="1" applyFont="1" applyFill="1" applyBorder="1" applyAlignment="1"/>
    <xf numFmtId="166" fontId="6" fillId="9" borderId="4" xfId="0" applyNumberFormat="1" applyFont="1" applyFill="1" applyBorder="1" applyAlignment="1"/>
    <xf numFmtId="166" fontId="8" fillId="6" borderId="4" xfId="0" applyNumberFormat="1" applyFont="1" applyFill="1" applyBorder="1" applyAlignment="1"/>
    <xf numFmtId="166" fontId="9" fillId="10" borderId="4" xfId="0" applyNumberFormat="1" applyFont="1" applyFill="1" applyBorder="1" applyAlignment="1"/>
    <xf numFmtId="0" fontId="8" fillId="6" borderId="4" xfId="0" applyFont="1" applyFill="1" applyBorder="1" applyAlignment="1"/>
    <xf numFmtId="0" fontId="6" fillId="7" borderId="10" xfId="0" applyFont="1" applyFill="1" applyBorder="1" applyAlignment="1"/>
    <xf numFmtId="165" fontId="10" fillId="0" borderId="4" xfId="0" applyNumberFormat="1" applyFont="1" applyBorder="1" applyAlignment="1"/>
    <xf numFmtId="0" fontId="11" fillId="11" borderId="4" xfId="0" applyFont="1" applyFill="1" applyBorder="1" applyAlignment="1"/>
    <xf numFmtId="0" fontId="8" fillId="11" borderId="4" xfId="0" applyFont="1" applyFill="1" applyBorder="1" applyAlignment="1"/>
    <xf numFmtId="166" fontId="8" fillId="11" borderId="4" xfId="0" applyNumberFormat="1" applyFont="1" applyFill="1" applyBorder="1" applyAlignment="1"/>
    <xf numFmtId="166" fontId="8" fillId="11" borderId="4" xfId="0" applyNumberFormat="1" applyFont="1" applyFill="1" applyBorder="1" applyAlignment="1">
      <alignment horizontal="right"/>
    </xf>
    <xf numFmtId="165" fontId="10" fillId="11" borderId="4" xfId="0" applyNumberFormat="1" applyFont="1" applyFill="1" applyBorder="1" applyAlignment="1"/>
    <xf numFmtId="166" fontId="6" fillId="11" borderId="4" xfId="0" applyNumberFormat="1" applyFont="1" applyFill="1" applyBorder="1" applyAlignment="1"/>
    <xf numFmtId="165" fontId="6" fillId="7" borderId="10" xfId="0" applyNumberFormat="1" applyFont="1" applyFill="1" applyBorder="1" applyAlignment="1"/>
    <xf numFmtId="0" fontId="9" fillId="0" borderId="0" xfId="0" applyFont="1" applyAlignment="1"/>
    <xf numFmtId="0" fontId="9" fillId="10" borderId="4" xfId="0" applyFont="1" applyFill="1" applyBorder="1" applyAlignment="1"/>
    <xf numFmtId="0" fontId="6" fillId="12" borderId="0" xfId="0" applyFont="1" applyFill="1" applyAlignment="1"/>
    <xf numFmtId="166" fontId="6" fillId="12" borderId="0" xfId="0" applyNumberFormat="1" applyFont="1" applyFill="1" applyAlignment="1"/>
    <xf numFmtId="0" fontId="8" fillId="12" borderId="4" xfId="0" applyFont="1" applyFill="1" applyBorder="1" applyAlignment="1"/>
    <xf numFmtId="165" fontId="8" fillId="12" borderId="4" xfId="0" applyNumberFormat="1" applyFont="1" applyFill="1" applyBorder="1" applyAlignment="1">
      <alignment horizontal="right"/>
    </xf>
    <xf numFmtId="0" fontId="13" fillId="14" borderId="10" xfId="0" applyFont="1" applyFill="1" applyBorder="1" applyAlignment="1"/>
    <xf numFmtId="167" fontId="13" fillId="14" borderId="10" xfId="0" applyNumberFormat="1" applyFont="1" applyFill="1" applyBorder="1" applyAlignment="1"/>
    <xf numFmtId="44" fontId="13" fillId="14" borderId="10" xfId="0" applyNumberFormat="1" applyFont="1" applyFill="1" applyBorder="1" applyAlignment="1"/>
    <xf numFmtId="39" fontId="13" fillId="14" borderId="10" xfId="5" applyNumberFormat="1" applyFont="1" applyFill="1" applyBorder="1" applyAlignment="1"/>
    <xf numFmtId="0" fontId="12" fillId="0" borderId="0" xfId="0" applyFont="1" applyBorder="1" applyAlignment="1"/>
    <xf numFmtId="167" fontId="12" fillId="0" borderId="17" xfId="0" applyNumberFormat="1" applyFont="1" applyFill="1" applyBorder="1" applyAlignment="1"/>
    <xf numFmtId="0" fontId="12" fillId="0" borderId="17" xfId="0" applyFont="1" applyFill="1" applyBorder="1" applyAlignment="1"/>
    <xf numFmtId="14" fontId="12" fillId="0" borderId="17" xfId="0" applyNumberFormat="1" applyFont="1" applyFill="1" applyBorder="1" applyAlignment="1"/>
    <xf numFmtId="44" fontId="12" fillId="0" borderId="17" xfId="0" applyNumberFormat="1" applyFont="1" applyFill="1" applyBorder="1" applyAlignment="1"/>
    <xf numFmtId="39" fontId="12" fillId="0" borderId="10" xfId="0" applyNumberFormat="1" applyFont="1" applyFill="1" applyBorder="1" applyAlignment="1"/>
    <xf numFmtId="0" fontId="12" fillId="0" borderId="10" xfId="0" applyFont="1" applyBorder="1" applyAlignment="1"/>
    <xf numFmtId="167" fontId="12" fillId="0" borderId="10" xfId="0" applyNumberFormat="1" applyFont="1" applyFill="1" applyBorder="1" applyAlignment="1"/>
    <xf numFmtId="0" fontId="12" fillId="0" borderId="10" xfId="0" applyFont="1" applyFill="1" applyBorder="1" applyAlignment="1"/>
    <xf numFmtId="14" fontId="12" fillId="0" borderId="0" xfId="0" applyNumberFormat="1" applyFont="1" applyFill="1" applyBorder="1" applyAlignment="1"/>
    <xf numFmtId="44" fontId="12" fillId="0" borderId="10" xfId="0" applyNumberFormat="1" applyFont="1" applyFill="1" applyBorder="1" applyAlignment="1"/>
    <xf numFmtId="14" fontId="12" fillId="0" borderId="10" xfId="0" applyNumberFormat="1" applyFont="1" applyFill="1" applyBorder="1" applyAlignment="1"/>
    <xf numFmtId="17" fontId="12" fillId="0" borderId="10" xfId="0" applyNumberFormat="1" applyFont="1" applyFill="1" applyBorder="1" applyAlignment="1"/>
    <xf numFmtId="0" fontId="12" fillId="0" borderId="18" xfId="0" applyFont="1" applyFill="1" applyBorder="1" applyAlignment="1"/>
    <xf numFmtId="15" fontId="12" fillId="0" borderId="10" xfId="0" applyNumberFormat="1" applyFont="1" applyFill="1" applyBorder="1" applyAlignment="1"/>
    <xf numFmtId="44" fontId="12" fillId="0" borderId="18" xfId="0" applyNumberFormat="1" applyFont="1" applyFill="1" applyBorder="1" applyAlignment="1"/>
    <xf numFmtId="44" fontId="12" fillId="0" borderId="0" xfId="0" applyNumberFormat="1" applyFont="1"/>
    <xf numFmtId="164" fontId="12" fillId="0" borderId="0" xfId="0" applyNumberFormat="1" applyFont="1"/>
    <xf numFmtId="0" fontId="13" fillId="14" borderId="17" xfId="44" applyFont="1" applyFill="1" applyBorder="1" applyAlignment="1"/>
    <xf numFmtId="167" fontId="13" fillId="14" borderId="16" xfId="44" applyNumberFormat="1" applyFont="1" applyFill="1" applyBorder="1" applyAlignment="1"/>
    <xf numFmtId="0" fontId="13" fillId="14" borderId="16" xfId="44" applyFont="1" applyFill="1" applyBorder="1" applyAlignment="1"/>
    <xf numFmtId="168" fontId="13" fillId="14" borderId="16" xfId="44" applyNumberFormat="1" applyFont="1" applyFill="1" applyBorder="1" applyAlignment="1"/>
    <xf numFmtId="44" fontId="13" fillId="14" borderId="16" xfId="44" applyNumberFormat="1" applyFont="1" applyFill="1" applyBorder="1" applyAlignment="1"/>
    <xf numFmtId="39" fontId="13" fillId="14" borderId="16" xfId="5" applyNumberFormat="1" applyFont="1" applyFill="1" applyBorder="1" applyAlignment="1"/>
    <xf numFmtId="168" fontId="12" fillId="0" borderId="10" xfId="0" applyNumberFormat="1" applyFont="1" applyFill="1" applyBorder="1" applyAlignment="1"/>
    <xf numFmtId="44" fontId="14" fillId="0" borderId="10" xfId="0" applyNumberFormat="1" applyFont="1" applyFill="1" applyBorder="1" applyAlignment="1"/>
    <xf numFmtId="168" fontId="12" fillId="0" borderId="17" xfId="0" applyNumberFormat="1" applyFont="1" applyFill="1" applyBorder="1" applyAlignment="1"/>
    <xf numFmtId="44" fontId="14" fillId="0" borderId="17" xfId="0" applyNumberFormat="1" applyFont="1" applyFill="1" applyBorder="1" applyAlignment="1"/>
    <xf numFmtId="168" fontId="12" fillId="0" borderId="0" xfId="0" applyNumberFormat="1" applyFont="1" applyFill="1" applyBorder="1" applyAlignment="1"/>
    <xf numFmtId="0" fontId="12" fillId="0" borderId="10" xfId="0" applyFont="1" applyBorder="1"/>
    <xf numFmtId="167" fontId="12" fillId="0" borderId="10" xfId="0" applyNumberFormat="1" applyFont="1" applyBorder="1"/>
    <xf numFmtId="168" fontId="12" fillId="0" borderId="10" xfId="0" applyNumberFormat="1" applyFont="1" applyBorder="1"/>
    <xf numFmtId="44" fontId="12" fillId="0" borderId="10" xfId="0" applyNumberFormat="1" applyFont="1" applyBorder="1"/>
    <xf numFmtId="44" fontId="14" fillId="0" borderId="10" xfId="0" applyNumberFormat="1" applyFont="1" applyBorder="1"/>
    <xf numFmtId="167" fontId="12" fillId="0" borderId="19" xfId="0" applyNumberFormat="1" applyFont="1" applyBorder="1"/>
    <xf numFmtId="0" fontId="12" fillId="0" borderId="19" xfId="0" applyFont="1" applyBorder="1"/>
    <xf numFmtId="168" fontId="12" fillId="0" borderId="19" xfId="0" applyNumberFormat="1" applyFont="1" applyBorder="1"/>
    <xf numFmtId="44" fontId="12" fillId="0" borderId="19" xfId="0" applyNumberFormat="1" applyFont="1" applyBorder="1"/>
    <xf numFmtId="44" fontId="14" fillId="0" borderId="19" xfId="0" applyNumberFormat="1" applyFont="1" applyBorder="1"/>
    <xf numFmtId="0" fontId="12" fillId="0" borderId="17" xfId="0" applyFont="1" applyBorder="1"/>
    <xf numFmtId="167" fontId="12" fillId="0" borderId="16" xfId="0" applyNumberFormat="1" applyFont="1" applyBorder="1"/>
    <xf numFmtId="0" fontId="12" fillId="0" borderId="16" xfId="0" applyFont="1" applyBorder="1"/>
    <xf numFmtId="168" fontId="12" fillId="0" borderId="16" xfId="0" applyNumberFormat="1" applyFont="1" applyBorder="1"/>
    <xf numFmtId="44" fontId="12" fillId="0" borderId="16" xfId="0" applyNumberFormat="1" applyFont="1" applyBorder="1"/>
    <xf numFmtId="44" fontId="14" fillId="0" borderId="16" xfId="0" applyNumberFormat="1" applyFont="1" applyBorder="1"/>
    <xf numFmtId="39" fontId="12" fillId="0" borderId="16" xfId="0" applyNumberFormat="1" applyFont="1" applyFill="1" applyBorder="1" applyAlignment="1"/>
    <xf numFmtId="39" fontId="12" fillId="0" borderId="16" xfId="0" applyNumberFormat="1" applyFont="1" applyBorder="1"/>
    <xf numFmtId="165" fontId="18" fillId="0" borderId="0" xfId="0" applyNumberFormat="1" applyFont="1" applyAlignment="1"/>
    <xf numFmtId="165" fontId="10" fillId="0" borderId="0" xfId="0" applyNumberFormat="1" applyFont="1" applyAlignment="1"/>
    <xf numFmtId="165" fontId="10" fillId="2" borderId="0" xfId="0" applyNumberFormat="1" applyFont="1" applyFill="1" applyAlignment="1"/>
    <xf numFmtId="165" fontId="10" fillId="3" borderId="0" xfId="0" applyNumberFormat="1" applyFont="1" applyFill="1" applyAlignment="1"/>
    <xf numFmtId="165" fontId="10" fillId="4" borderId="4" xfId="0" applyNumberFormat="1" applyFont="1" applyFill="1" applyBorder="1" applyAlignment="1"/>
    <xf numFmtId="165" fontId="10" fillId="9" borderId="4" xfId="0" applyNumberFormat="1" applyFont="1" applyFill="1" applyBorder="1" applyAlignment="1"/>
    <xf numFmtId="165" fontId="10" fillId="10" borderId="4" xfId="0" applyNumberFormat="1" applyFont="1" applyFill="1" applyBorder="1" applyAlignment="1"/>
    <xf numFmtId="165" fontId="10" fillId="12" borderId="0" xfId="0" applyNumberFormat="1" applyFont="1" applyFill="1" applyAlignment="1"/>
    <xf numFmtId="4" fontId="12" fillId="0" borderId="10" xfId="0" applyNumberFormat="1" applyFont="1" applyFill="1" applyBorder="1" applyAlignment="1"/>
    <xf numFmtId="0" fontId="0" fillId="0" borderId="0" xfId="0"/>
    <xf numFmtId="14" fontId="12" fillId="0" borderId="18" xfId="0" applyNumberFormat="1" applyFont="1" applyFill="1" applyBorder="1" applyAlignment="1"/>
    <xf numFmtId="4" fontId="10" fillId="9" borderId="4" xfId="0" applyNumberFormat="1" applyFont="1" applyFill="1" applyBorder="1" applyAlignment="1"/>
    <xf numFmtId="0" fontId="12" fillId="0" borderId="20" xfId="0" applyFont="1" applyFill="1" applyBorder="1" applyAlignment="1"/>
    <xf numFmtId="44" fontId="14" fillId="0" borderId="19" xfId="0" applyNumberFormat="1" applyFont="1" applyFill="1" applyBorder="1" applyAlignment="1"/>
    <xf numFmtId="164" fontId="19" fillId="0" borderId="10" xfId="0" applyNumberFormat="1" applyFont="1" applyBorder="1" applyAlignment="1"/>
    <xf numFmtId="0" fontId="20" fillId="0" borderId="10" xfId="0" applyFont="1" applyBorder="1" applyAlignment="1">
      <alignment horizontal="right"/>
    </xf>
    <xf numFmtId="0" fontId="15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0" xfId="0" applyAlignment="1"/>
    <xf numFmtId="167" fontId="12" fillId="13" borderId="11" xfId="0" applyNumberFormat="1" applyFont="1" applyFill="1" applyBorder="1" applyAlignment="1"/>
    <xf numFmtId="0" fontId="0" fillId="13" borderId="12" xfId="0" applyFill="1" applyBorder="1" applyAlignment="1"/>
    <xf numFmtId="0" fontId="0" fillId="13" borderId="13" xfId="0" applyFill="1" applyBorder="1" applyAlignment="1"/>
    <xf numFmtId="0" fontId="0" fillId="13" borderId="14" xfId="0" applyFill="1" applyBorder="1" applyAlignment="1"/>
    <xf numFmtId="0" fontId="0" fillId="13" borderId="15" xfId="0" applyFill="1" applyBorder="1" applyAlignment="1"/>
    <xf numFmtId="0" fontId="0" fillId="13" borderId="16" xfId="0" applyFill="1" applyBorder="1" applyAlignment="1"/>
  </cellXfs>
  <cellStyles count="89">
    <cellStyle name="Currency" xfId="5" builtinId="4"/>
    <cellStyle name="Followed Hyperlink" xfId="9" builtinId="9" hidden="1"/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43" builtinId="9" hidden="1"/>
    <cellStyle name="Followed Hyperlink" xfId="46" builtinId="9" hidden="1"/>
    <cellStyle name="Followed Hyperlink" xfId="50" builtinId="9" hidden="1"/>
    <cellStyle name="Followed Hyperlink" xfId="54" builtinId="9" hidden="1"/>
    <cellStyle name="Followed Hyperlink" xfId="58" builtinId="9" hidden="1"/>
    <cellStyle name="Followed Hyperlink" xfId="60" builtinId="9" hidden="1"/>
    <cellStyle name="Followed Hyperlink" xfId="66" builtinId="9" hidden="1"/>
    <cellStyle name="Followed Hyperlink" xfId="64" builtinId="9" hidden="1"/>
    <cellStyle name="Followed Hyperlink" xfId="56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15" builtinId="9" hidden="1"/>
    <cellStyle name="Followed Hyperlink" xfId="21" builtinId="9" hidden="1"/>
    <cellStyle name="Followed Hyperlink" xfId="11" builtinId="9" hidden="1"/>
    <cellStyle name="Followed Hyperlink" xfId="48" builtinId="9" hidden="1"/>
    <cellStyle name="Followed Hyperlink" xfId="62" builtinId="9" hidden="1"/>
    <cellStyle name="Followed Hyperlink" xfId="52" builtinId="9" hidden="1"/>
    <cellStyle name="Followed Hyperlink" xfId="41" builtinId="9" hidden="1"/>
    <cellStyle name="Followed Hyperlink" xfId="25" builtinId="9" hidden="1"/>
    <cellStyle name="Followed Hyperlink" xfId="27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29" builtinId="9" hidden="1"/>
    <cellStyle name="Followed Hyperlink" xfId="72" builtinId="9" hidden="1"/>
    <cellStyle name="Followed Hyperlink" xfId="68" builtinId="9" hidden="1"/>
    <cellStyle name="Followed Hyperlink" xfId="74" builtinId="9" hidden="1"/>
    <cellStyle name="Followed Hyperlink" xfId="70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26" builtinId="8" hidden="1"/>
    <cellStyle name="Hyperlink" xfId="12" builtinId="8" hidden="1"/>
    <cellStyle name="Hyperlink" xfId="14" builtinId="8" hidden="1"/>
    <cellStyle name="Hyperlink" xfId="18" builtinId="8" hidden="1"/>
    <cellStyle name="Hyperlink" xfId="20" builtinId="8" hidden="1"/>
    <cellStyle name="Hyperlink" xfId="10" builtinId="8" hidden="1"/>
    <cellStyle name="Hyperlink" xfId="8" builtinId="8" hidden="1"/>
    <cellStyle name="Hyperlink" xfId="3" builtinId="8" hidden="1"/>
    <cellStyle name="Hyperlink" xfId="1" builtinId="8" hidden="1"/>
    <cellStyle name="Hyperlink" xfId="6" builtinId="8" hidden="1"/>
    <cellStyle name="Hyperlink" xfId="16" builtinId="8" hidden="1"/>
    <cellStyle name="Hyperlink" xfId="42" builtinId="8" hidden="1"/>
    <cellStyle name="Hyperlink" xfId="59" builtinId="8" hidden="1"/>
    <cellStyle name="Hyperlink" xfId="51" builtinId="8" hidden="1"/>
    <cellStyle name="Hyperlink" xfId="24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5" builtinId="8" hidden="1"/>
    <cellStyle name="Hyperlink" xfId="47" builtinId="8" hidden="1"/>
    <cellStyle name="Hyperlink" xfId="49" builtinId="8" hidden="1"/>
    <cellStyle name="Hyperlink" xfId="40" builtinId="8" hidden="1"/>
    <cellStyle name="Hyperlink" xfId="22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67" builtinId="8" hidden="1"/>
    <cellStyle name="Hyperlink" xfId="63" builtinId="8" hidden="1"/>
    <cellStyle name="Hyperlink" xfId="57" builtinId="8" hidden="1"/>
    <cellStyle name="Hyperlink" xfId="61" builtinId="8" hidden="1"/>
    <cellStyle name="Hyperlink" xfId="55" builtinId="8" hidden="1"/>
    <cellStyle name="Hyperlink" xfId="5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  <cellStyle name="Normal_ICC Bills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tabSelected="1" workbookViewId="0">
      <selection activeCell="A3" sqref="A3"/>
    </sheetView>
  </sheetViews>
  <sheetFormatPr defaultColWidth="14.42578125" defaultRowHeight="15.75" customHeight="1" x14ac:dyDescent="0.2"/>
  <cols>
    <col min="1" max="1" width="62.42578125" style="8" customWidth="1"/>
    <col min="2" max="2" width="18.85546875" style="8" customWidth="1"/>
    <col min="3" max="6" width="14.42578125" style="8"/>
    <col min="7" max="7" width="14.42578125" style="103"/>
    <col min="8" max="16384" width="14.42578125" style="8"/>
  </cols>
  <sheetData>
    <row r="1" spans="1:9" ht="20.100000000000001" customHeight="1" x14ac:dyDescent="0.2">
      <c r="A1" s="118" t="s">
        <v>514</v>
      </c>
      <c r="B1" s="119"/>
      <c r="C1" s="119"/>
      <c r="D1" s="119"/>
      <c r="E1" s="119"/>
      <c r="F1" s="119"/>
      <c r="G1" s="119"/>
    </row>
    <row r="2" spans="1:9" ht="12.95" customHeight="1" x14ac:dyDescent="0.2">
      <c r="A2" s="120"/>
      <c r="B2" s="121"/>
      <c r="C2" s="121"/>
      <c r="D2" s="121"/>
      <c r="E2" s="121"/>
      <c r="F2" s="121"/>
      <c r="G2" s="121"/>
    </row>
    <row r="3" spans="1:9" ht="15.75" customHeight="1" x14ac:dyDescent="0.2">
      <c r="A3" s="10" t="s">
        <v>0</v>
      </c>
      <c r="B3" s="11">
        <v>1800</v>
      </c>
      <c r="C3" s="11">
        <v>7200</v>
      </c>
      <c r="D3" s="11">
        <v>6700</v>
      </c>
      <c r="E3" s="12"/>
      <c r="F3" s="9"/>
    </row>
    <row r="4" spans="1:9" ht="15.75" customHeight="1" x14ac:dyDescent="0.2">
      <c r="A4" s="13" t="s">
        <v>1</v>
      </c>
      <c r="B4" s="14">
        <v>65.680000000000007</v>
      </c>
      <c r="C4" s="14">
        <v>65.680000000000007</v>
      </c>
      <c r="D4" s="14">
        <v>65.680000000000007</v>
      </c>
      <c r="E4" s="15"/>
      <c r="F4" s="9"/>
    </row>
    <row r="5" spans="1:9" ht="15.75" customHeight="1" x14ac:dyDescent="0.2">
      <c r="A5" s="13" t="s">
        <v>2</v>
      </c>
      <c r="B5" s="14">
        <f>B3*B4</f>
        <v>118224.00000000001</v>
      </c>
      <c r="C5" s="14">
        <f>C3*C4</f>
        <v>472896.00000000006</v>
      </c>
      <c r="D5" s="14">
        <f>D3*D4</f>
        <v>440056.00000000006</v>
      </c>
      <c r="E5" s="16">
        <f>B5+C5+D5</f>
        <v>1031176.0000000002</v>
      </c>
      <c r="F5" s="9"/>
    </row>
    <row r="6" spans="1:9" ht="15.75" customHeight="1" x14ac:dyDescent="0.2">
      <c r="A6" s="13" t="s">
        <v>3</v>
      </c>
      <c r="B6" s="14">
        <f>B5*0.25</f>
        <v>29556.000000000004</v>
      </c>
      <c r="C6" s="14">
        <f>C5*0.25</f>
        <v>118224.00000000001</v>
      </c>
      <c r="D6" s="14">
        <f>D5*0.25</f>
        <v>110014.00000000001</v>
      </c>
      <c r="E6" s="16">
        <f>B6+C6+D6</f>
        <v>257794.00000000006</v>
      </c>
      <c r="F6" s="9"/>
    </row>
    <row r="7" spans="1:9" ht="15.75" customHeight="1" x14ac:dyDescent="0.2">
      <c r="A7" s="17" t="s">
        <v>4</v>
      </c>
      <c r="B7" s="18">
        <f>B5-B6</f>
        <v>88668.000000000015</v>
      </c>
      <c r="C7" s="18">
        <f>C5-C6</f>
        <v>354672.00000000006</v>
      </c>
      <c r="D7" s="18">
        <f>D5-D6</f>
        <v>330042.00000000006</v>
      </c>
      <c r="E7" s="19">
        <f>E5-E6</f>
        <v>773382.00000000023</v>
      </c>
      <c r="F7" s="9"/>
    </row>
    <row r="8" spans="1:9" ht="15.75" customHeight="1" x14ac:dyDescent="0.2">
      <c r="A8" s="20" t="s">
        <v>5</v>
      </c>
      <c r="B8" s="21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104" t="s">
        <v>11</v>
      </c>
      <c r="H8" s="21" t="s">
        <v>12</v>
      </c>
    </row>
    <row r="9" spans="1:9" ht="15.75" customHeight="1" x14ac:dyDescent="0.2">
      <c r="A9" s="6" t="s">
        <v>13</v>
      </c>
      <c r="B9" s="6" t="s">
        <v>14</v>
      </c>
      <c r="C9" s="6"/>
      <c r="D9" s="6"/>
      <c r="E9" s="6"/>
      <c r="F9" s="5">
        <f>SUM(E10:E58)</f>
        <v>249607.5</v>
      </c>
      <c r="G9" s="105">
        <f>G10+G11+G13+G14+G17+G22+G32+G34+G42+G45+G47+G54+G55+G56+G57+G58+G59+G62+G76+G126+G128</f>
        <v>-448690.04000000004</v>
      </c>
      <c r="H9" s="5">
        <f>F9+G9</f>
        <v>-199082.54000000004</v>
      </c>
      <c r="I9" s="7">
        <f>F9/E7</f>
        <v>0.32274800809949017</v>
      </c>
    </row>
    <row r="10" spans="1:9" ht="15.75" customHeight="1" x14ac:dyDescent="0.2">
      <c r="A10" s="22" t="s">
        <v>15</v>
      </c>
      <c r="B10" s="22" t="s">
        <v>14</v>
      </c>
      <c r="C10" s="22" t="s">
        <v>16</v>
      </c>
      <c r="D10" s="22"/>
      <c r="E10" s="23">
        <f>7670+910</f>
        <v>8580</v>
      </c>
      <c r="F10" s="22"/>
      <c r="G10" s="37">
        <f>-4209.98-4209.98</f>
        <v>-8419.9599999999991</v>
      </c>
      <c r="H10" s="24">
        <f t="shared" ref="H10:H58" si="0">E10+G10</f>
        <v>160.04000000000087</v>
      </c>
    </row>
    <row r="11" spans="1:9" ht="15.75" customHeight="1" x14ac:dyDescent="0.2">
      <c r="A11" s="22" t="s">
        <v>17</v>
      </c>
      <c r="B11" s="22" t="s">
        <v>14</v>
      </c>
      <c r="C11" s="22" t="s">
        <v>18</v>
      </c>
      <c r="D11" s="22"/>
      <c r="E11" s="23">
        <v>27500</v>
      </c>
      <c r="F11" s="22"/>
      <c r="G11" s="37">
        <f>-2089.91-1283-2277.49-1416.33-2171.91-1541.88-2077.07-1407.43-2177.86-1570.16-2154.66-807.4-1980.31-1627.21-1772.41-1496.84-2045.96-1725.49</f>
        <v>-31623.320000000003</v>
      </c>
      <c r="H11" s="24">
        <f t="shared" si="0"/>
        <v>-4123.3200000000033</v>
      </c>
    </row>
    <row r="12" spans="1:9" ht="15.75" customHeight="1" x14ac:dyDescent="0.2">
      <c r="A12" s="22" t="s">
        <v>19</v>
      </c>
      <c r="B12" s="22" t="s">
        <v>14</v>
      </c>
      <c r="C12" s="22" t="s">
        <v>20</v>
      </c>
      <c r="D12" s="22"/>
      <c r="E12" s="23">
        <f>19200</f>
        <v>19200</v>
      </c>
      <c r="F12" s="22"/>
      <c r="G12" s="103">
        <v>0</v>
      </c>
      <c r="H12" s="24">
        <f t="shared" si="0"/>
        <v>19200</v>
      </c>
    </row>
    <row r="13" spans="1:9" ht="15.75" customHeight="1" x14ac:dyDescent="0.2">
      <c r="A13" s="22" t="s">
        <v>21</v>
      </c>
      <c r="B13" s="22" t="s">
        <v>14</v>
      </c>
      <c r="C13" s="22" t="s">
        <v>22</v>
      </c>
      <c r="D13" s="22"/>
      <c r="E13" s="23">
        <f>32500*1.385</f>
        <v>45012.5</v>
      </c>
      <c r="F13" s="22"/>
      <c r="G13" s="37">
        <f>-1502.88-3065.56-7213.67-8095.34-9237.16-3756.83-4751.05-9337.63-11771.36</f>
        <v>-58731.48</v>
      </c>
      <c r="H13" s="24">
        <f>E13+G13</f>
        <v>-13718.980000000003</v>
      </c>
    </row>
    <row r="14" spans="1:9" ht="15.75" customHeight="1" x14ac:dyDescent="0.25">
      <c r="A14" s="38" t="s">
        <v>23</v>
      </c>
      <c r="B14" s="39" t="s">
        <v>14</v>
      </c>
      <c r="C14" s="39" t="s">
        <v>24</v>
      </c>
      <c r="D14" s="39"/>
      <c r="E14" s="40">
        <f>SUM(D15:D16)</f>
        <v>4500</v>
      </c>
      <c r="F14" s="39"/>
      <c r="G14" s="42">
        <f>SUM(G15:G16)</f>
        <v>-1851</v>
      </c>
      <c r="H14" s="43">
        <f t="shared" si="0"/>
        <v>2649</v>
      </c>
    </row>
    <row r="15" spans="1:9" ht="15.75" customHeight="1" x14ac:dyDescent="0.2">
      <c r="A15" s="22" t="s">
        <v>25</v>
      </c>
      <c r="B15" s="22" t="s">
        <v>14</v>
      </c>
      <c r="C15" s="22" t="s">
        <v>26</v>
      </c>
      <c r="D15" s="23">
        <v>3000</v>
      </c>
      <c r="E15" s="22"/>
      <c r="F15" s="22"/>
      <c r="G15" s="37">
        <f>-285-430</f>
        <v>-715</v>
      </c>
      <c r="H15" s="24">
        <f>D15+G15</f>
        <v>2285</v>
      </c>
    </row>
    <row r="16" spans="1:9" ht="15.75" customHeight="1" x14ac:dyDescent="0.2">
      <c r="A16" s="22" t="s">
        <v>27</v>
      </c>
      <c r="B16" s="22" t="s">
        <v>14</v>
      </c>
      <c r="C16" s="22" t="s">
        <v>28</v>
      </c>
      <c r="D16" s="23">
        <v>1500</v>
      </c>
      <c r="E16" s="22"/>
      <c r="F16" s="22"/>
      <c r="G16" s="37">
        <f>-293.76-164.7-131.76-20-501.78-24</f>
        <v>-1136</v>
      </c>
      <c r="H16" s="24">
        <f>D16+G16</f>
        <v>364</v>
      </c>
    </row>
    <row r="17" spans="1:8" ht="15.75" customHeight="1" x14ac:dyDescent="0.25">
      <c r="A17" s="38" t="s">
        <v>29</v>
      </c>
      <c r="B17" s="39" t="s">
        <v>14</v>
      </c>
      <c r="C17" s="39" t="s">
        <v>30</v>
      </c>
      <c r="D17" s="39"/>
      <c r="E17" s="40">
        <f>SUM(D18:D21)</f>
        <v>20300</v>
      </c>
      <c r="F17" s="39"/>
      <c r="G17" s="42">
        <f>SUM(G18:G21)</f>
        <v>-7151.47</v>
      </c>
      <c r="H17" s="43">
        <f t="shared" si="0"/>
        <v>13148.529999999999</v>
      </c>
    </row>
    <row r="18" spans="1:8" ht="15.75" customHeight="1" x14ac:dyDescent="0.2">
      <c r="A18" s="22" t="s">
        <v>25</v>
      </c>
      <c r="B18" s="22" t="s">
        <v>14</v>
      </c>
      <c r="C18" s="22" t="s">
        <v>31</v>
      </c>
      <c r="D18" s="23">
        <v>500</v>
      </c>
      <c r="E18" s="22"/>
      <c r="F18" s="22"/>
      <c r="G18" s="37">
        <f>-147.59-140+140-71.16-71.16-71.16-50.9</f>
        <v>-411.97</v>
      </c>
      <c r="H18" s="24">
        <f>D18+G18</f>
        <v>88.029999999999973</v>
      </c>
    </row>
    <row r="19" spans="1:8" ht="15.75" customHeight="1" x14ac:dyDescent="0.2">
      <c r="A19" s="22" t="s">
        <v>32</v>
      </c>
      <c r="B19" s="22" t="s">
        <v>14</v>
      </c>
      <c r="C19" s="22" t="s">
        <v>33</v>
      </c>
      <c r="D19" s="23">
        <f>4000+800</f>
        <v>4800</v>
      </c>
      <c r="E19" s="22"/>
      <c r="F19" s="22"/>
      <c r="G19" s="37">
        <f>-200-499.5-475</f>
        <v>-1174.5</v>
      </c>
      <c r="H19" s="24">
        <f>D19+G19</f>
        <v>3625.5</v>
      </c>
    </row>
    <row r="20" spans="1:8" ht="15.75" customHeight="1" x14ac:dyDescent="0.2">
      <c r="A20" s="22" t="s">
        <v>34</v>
      </c>
      <c r="B20" s="22" t="s">
        <v>14</v>
      </c>
      <c r="C20" s="22" t="s">
        <v>35</v>
      </c>
      <c r="D20" s="23">
        <f>1000+4000+10000</f>
        <v>15000</v>
      </c>
      <c r="E20" s="22"/>
      <c r="F20" s="22"/>
      <c r="G20" s="37">
        <f>-10-378.7-1089.28-37.5-190-560.52-299-1250-1750</f>
        <v>-5565</v>
      </c>
      <c r="H20" s="24">
        <f>D20+G20</f>
        <v>9435</v>
      </c>
    </row>
    <row r="21" spans="1:8" ht="15.75" customHeight="1" x14ac:dyDescent="0.2">
      <c r="A21" s="22" t="s">
        <v>36</v>
      </c>
      <c r="B21" s="22" t="s">
        <v>14</v>
      </c>
      <c r="C21" s="22" t="s">
        <v>37</v>
      </c>
      <c r="D21" s="23">
        <v>0</v>
      </c>
      <c r="E21" s="22"/>
      <c r="F21" s="22"/>
      <c r="G21" s="37">
        <v>0</v>
      </c>
      <c r="H21" s="24">
        <f>D21+G21</f>
        <v>0</v>
      </c>
    </row>
    <row r="22" spans="1:8" ht="15.75" customHeight="1" x14ac:dyDescent="0.25">
      <c r="A22" s="38" t="s">
        <v>38</v>
      </c>
      <c r="B22" s="39" t="s">
        <v>14</v>
      </c>
      <c r="C22" s="39" t="s">
        <v>39</v>
      </c>
      <c r="D22" s="39"/>
      <c r="E22" s="40">
        <f>SUM(D23:D31)</f>
        <v>65000</v>
      </c>
      <c r="F22" s="41"/>
      <c r="G22" s="42">
        <f>SUM(SUM(G23:G31))</f>
        <v>-41323.57</v>
      </c>
      <c r="H22" s="43">
        <f t="shared" si="0"/>
        <v>23676.43</v>
      </c>
    </row>
    <row r="23" spans="1:8" ht="15.75" customHeight="1" x14ac:dyDescent="0.2">
      <c r="A23" s="22" t="s">
        <v>25</v>
      </c>
      <c r="B23" s="22" t="s">
        <v>14</v>
      </c>
      <c r="C23" s="22" t="s">
        <v>40</v>
      </c>
      <c r="D23" s="23">
        <v>3000</v>
      </c>
      <c r="E23" s="22"/>
      <c r="F23" s="22"/>
      <c r="G23" s="37">
        <f>-171.4-90.44-1796.39-788.95</f>
        <v>-2847.1800000000003</v>
      </c>
      <c r="H23" s="24">
        <f t="shared" ref="H23:H31" si="1">D23+G23</f>
        <v>152.81999999999971</v>
      </c>
    </row>
    <row r="24" spans="1:8" ht="15.75" customHeight="1" x14ac:dyDescent="0.2">
      <c r="A24" s="22" t="s">
        <v>41</v>
      </c>
      <c r="B24" s="22" t="s">
        <v>14</v>
      </c>
      <c r="C24" s="22" t="s">
        <v>42</v>
      </c>
      <c r="D24" s="23">
        <v>12000</v>
      </c>
      <c r="E24" s="22"/>
      <c r="F24" s="22"/>
      <c r="G24" s="37">
        <f>-3229-4023.21-64.1-332-88.5-29.95-563.8-10-6-30-182.42-74.19-201.24-631.04-615.06-50-135.65-108.86-174.78-393.3</f>
        <v>-10943.1</v>
      </c>
      <c r="H24" s="24">
        <f t="shared" si="1"/>
        <v>1056.8999999999996</v>
      </c>
    </row>
    <row r="25" spans="1:8" ht="15.75" customHeight="1" x14ac:dyDescent="0.2">
      <c r="A25" s="22" t="s">
        <v>43</v>
      </c>
      <c r="B25" s="22" t="s">
        <v>14</v>
      </c>
      <c r="C25" s="22" t="s">
        <v>44</v>
      </c>
      <c r="D25" s="23">
        <v>5000</v>
      </c>
      <c r="E25" s="22"/>
      <c r="F25" s="22"/>
      <c r="G25" s="37">
        <v>0</v>
      </c>
      <c r="H25" s="24">
        <f t="shared" si="1"/>
        <v>5000</v>
      </c>
    </row>
    <row r="26" spans="1:8" ht="15.75" customHeight="1" x14ac:dyDescent="0.2">
      <c r="A26" s="22" t="s">
        <v>45</v>
      </c>
      <c r="B26" s="22" t="s">
        <v>14</v>
      </c>
      <c r="C26" s="22" t="s">
        <v>46</v>
      </c>
      <c r="D26" s="23">
        <v>1000</v>
      </c>
      <c r="E26" s="22"/>
      <c r="F26" s="22"/>
      <c r="G26" s="37">
        <f>-46.16-197.67</f>
        <v>-243.82999999999998</v>
      </c>
      <c r="H26" s="24">
        <f t="shared" si="1"/>
        <v>756.17000000000007</v>
      </c>
    </row>
    <row r="27" spans="1:8" ht="15.75" customHeight="1" x14ac:dyDescent="0.2">
      <c r="A27" s="22" t="s">
        <v>47</v>
      </c>
      <c r="B27" s="22" t="s">
        <v>14</v>
      </c>
      <c r="C27" s="22" t="s">
        <v>48</v>
      </c>
      <c r="D27" s="23">
        <v>1000</v>
      </c>
      <c r="E27" s="22"/>
      <c r="F27" s="22"/>
      <c r="G27" s="37">
        <v>0</v>
      </c>
      <c r="H27" s="24">
        <f t="shared" si="1"/>
        <v>1000</v>
      </c>
    </row>
    <row r="28" spans="1:8" ht="15.75" customHeight="1" x14ac:dyDescent="0.2">
      <c r="A28" s="22" t="s">
        <v>49</v>
      </c>
      <c r="B28" s="22" t="s">
        <v>14</v>
      </c>
      <c r="C28" s="22" t="s">
        <v>50</v>
      </c>
      <c r="D28" s="23">
        <v>3000</v>
      </c>
      <c r="E28" s="22"/>
      <c r="F28" s="22"/>
      <c r="G28" s="37">
        <f>-466.02-750-212.63-286.81</f>
        <v>-1715.46</v>
      </c>
      <c r="H28" s="24">
        <f t="shared" si="1"/>
        <v>1284.54</v>
      </c>
    </row>
    <row r="29" spans="1:8" ht="15.75" customHeight="1" x14ac:dyDescent="0.2">
      <c r="A29" s="22" t="s">
        <v>51</v>
      </c>
      <c r="B29" s="22" t="s">
        <v>14</v>
      </c>
      <c r="C29" s="8" t="s">
        <v>52</v>
      </c>
      <c r="D29" s="23">
        <v>12000</v>
      </c>
      <c r="E29" s="22"/>
      <c r="F29" s="22"/>
      <c r="G29" s="37">
        <f>-4026-3100</f>
        <v>-7126</v>
      </c>
      <c r="H29" s="24">
        <f t="shared" si="1"/>
        <v>4874</v>
      </c>
    </row>
    <row r="30" spans="1:8" ht="15.75" customHeight="1" x14ac:dyDescent="0.2">
      <c r="A30" s="22" t="s">
        <v>53</v>
      </c>
      <c r="B30" s="22" t="s">
        <v>14</v>
      </c>
      <c r="C30" s="22" t="s">
        <v>54</v>
      </c>
      <c r="D30" s="23">
        <f>16000+4000</f>
        <v>20000</v>
      </c>
      <c r="E30" s="22"/>
      <c r="F30" s="22"/>
      <c r="G30" s="37">
        <f>-9662.5-3000-5785.5</f>
        <v>-18448</v>
      </c>
      <c r="H30" s="24">
        <f t="shared" si="1"/>
        <v>1552</v>
      </c>
    </row>
    <row r="31" spans="1:8" ht="15.75" customHeight="1" x14ac:dyDescent="0.2">
      <c r="A31" s="22" t="s">
        <v>55</v>
      </c>
      <c r="B31" s="22" t="s">
        <v>14</v>
      </c>
      <c r="C31" s="22" t="s">
        <v>56</v>
      </c>
      <c r="D31" s="23">
        <v>8000</v>
      </c>
      <c r="E31" s="22"/>
      <c r="F31" s="22"/>
      <c r="G31" s="37">
        <v>0</v>
      </c>
      <c r="H31" s="24">
        <f t="shared" si="1"/>
        <v>8000</v>
      </c>
    </row>
    <row r="32" spans="1:8" ht="15.75" customHeight="1" x14ac:dyDescent="0.25">
      <c r="A32" s="38" t="s">
        <v>57</v>
      </c>
      <c r="B32" s="39" t="s">
        <v>14</v>
      </c>
      <c r="C32" s="39" t="s">
        <v>58</v>
      </c>
      <c r="D32" s="39"/>
      <c r="E32" s="40">
        <f>SUM(D33)</f>
        <v>300</v>
      </c>
      <c r="F32" s="39"/>
      <c r="G32" s="42">
        <f>G33</f>
        <v>-42.82</v>
      </c>
      <c r="H32" s="43">
        <f t="shared" si="0"/>
        <v>257.18</v>
      </c>
    </row>
    <row r="33" spans="1:8" ht="15.75" customHeight="1" x14ac:dyDescent="0.2">
      <c r="A33" s="22" t="s">
        <v>25</v>
      </c>
      <c r="B33" s="22" t="s">
        <v>14</v>
      </c>
      <c r="C33" s="22" t="s">
        <v>59</v>
      </c>
      <c r="D33" s="23">
        <v>300</v>
      </c>
      <c r="E33" s="22"/>
      <c r="F33" s="22"/>
      <c r="G33" s="37">
        <f>-42.82</f>
        <v>-42.82</v>
      </c>
      <c r="H33" s="24">
        <f>D33+G33</f>
        <v>257.18</v>
      </c>
    </row>
    <row r="34" spans="1:8" ht="15.75" customHeight="1" x14ac:dyDescent="0.25">
      <c r="A34" s="38" t="s">
        <v>60</v>
      </c>
      <c r="B34" s="39" t="s">
        <v>14</v>
      </c>
      <c r="C34" s="39" t="s">
        <v>61</v>
      </c>
      <c r="D34" s="39"/>
      <c r="E34" s="40">
        <f>SUM(D35:D41)</f>
        <v>20800</v>
      </c>
      <c r="F34" s="39"/>
      <c r="G34" s="42">
        <f>SUM(G35:G41)</f>
        <v>-14858.949999999999</v>
      </c>
      <c r="H34" s="43">
        <f t="shared" si="0"/>
        <v>5941.0500000000011</v>
      </c>
    </row>
    <row r="35" spans="1:8" ht="15.75" customHeight="1" x14ac:dyDescent="0.2">
      <c r="A35" s="22" t="s">
        <v>25</v>
      </c>
      <c r="B35" s="22" t="s">
        <v>14</v>
      </c>
      <c r="C35" s="22" t="s">
        <v>62</v>
      </c>
      <c r="D35" s="23">
        <v>1000</v>
      </c>
      <c r="E35" s="22"/>
      <c r="F35" s="22"/>
      <c r="G35" s="37">
        <v>0</v>
      </c>
      <c r="H35" s="24">
        <f t="shared" ref="H35:H41" si="2">D35+G35</f>
        <v>1000</v>
      </c>
    </row>
    <row r="36" spans="1:8" ht="15.75" customHeight="1" x14ac:dyDescent="0.2">
      <c r="A36" s="22" t="s">
        <v>63</v>
      </c>
      <c r="B36" s="22" t="s">
        <v>14</v>
      </c>
      <c r="C36" s="22" t="s">
        <v>64</v>
      </c>
      <c r="D36" s="23">
        <v>10000</v>
      </c>
      <c r="E36" s="22"/>
      <c r="F36" s="22"/>
      <c r="G36" s="37">
        <f>-391.62-602.45-95.03-39.76-12.61-108.06-19.29-115.34-577.81-240.8-87.11-459.18-304.46-124-14.99-234.16-777.44-27-196-104.57-211.37-6.73-765.38-399.99-234.62</f>
        <v>-6149.7699999999986</v>
      </c>
      <c r="H36" s="24">
        <f t="shared" si="2"/>
        <v>3850.2300000000014</v>
      </c>
    </row>
    <row r="37" spans="1:8" ht="15.75" customHeight="1" x14ac:dyDescent="0.2">
      <c r="A37" s="22" t="s">
        <v>65</v>
      </c>
      <c r="B37" s="22" t="s">
        <v>14</v>
      </c>
      <c r="C37" s="22" t="s">
        <v>66</v>
      </c>
      <c r="D37" s="23">
        <f>3000+800</f>
        <v>3800</v>
      </c>
      <c r="E37" s="22"/>
      <c r="F37" s="22"/>
      <c r="G37" s="37">
        <f>-240.67-965.28-1154.61-606.79-160.88-321.76-619.47-1180.91</f>
        <v>-5250.37</v>
      </c>
      <c r="H37" s="24">
        <f t="shared" si="2"/>
        <v>-1450.37</v>
      </c>
    </row>
    <row r="38" spans="1:8" ht="15.75" customHeight="1" x14ac:dyDescent="0.2">
      <c r="A38" s="22" t="s">
        <v>67</v>
      </c>
      <c r="B38" s="22" t="s">
        <v>14</v>
      </c>
      <c r="C38" s="22" t="s">
        <v>68</v>
      </c>
      <c r="D38" s="23">
        <v>0</v>
      </c>
      <c r="E38" s="22"/>
      <c r="F38" s="22"/>
      <c r="G38" s="37">
        <v>0</v>
      </c>
      <c r="H38" s="24">
        <f t="shared" si="2"/>
        <v>0</v>
      </c>
    </row>
    <row r="39" spans="1:8" ht="15.75" customHeight="1" x14ac:dyDescent="0.2">
      <c r="A39" s="22" t="s">
        <v>69</v>
      </c>
      <c r="B39" s="22" t="s">
        <v>14</v>
      </c>
      <c r="C39" s="22" t="s">
        <v>70</v>
      </c>
      <c r="D39" s="23">
        <v>4000</v>
      </c>
      <c r="E39" s="22"/>
      <c r="F39" s="22"/>
      <c r="G39" s="37">
        <f>-81.48-45.96-61.4-525.92-42.81-189.97-76.22-99-348-99-300-634.5-100-322.5</f>
        <v>-2926.76</v>
      </c>
      <c r="H39" s="24">
        <f t="shared" si="2"/>
        <v>1073.2399999999998</v>
      </c>
    </row>
    <row r="40" spans="1:8" ht="15.75" customHeight="1" x14ac:dyDescent="0.2">
      <c r="A40" s="22" t="s">
        <v>397</v>
      </c>
      <c r="B40" s="22" t="s">
        <v>14</v>
      </c>
      <c r="C40" s="22" t="s">
        <v>398</v>
      </c>
      <c r="D40" s="23">
        <f>1000</f>
        <v>1000</v>
      </c>
      <c r="E40" s="22"/>
      <c r="F40" s="22"/>
      <c r="G40" s="37"/>
      <c r="H40" s="24"/>
    </row>
    <row r="41" spans="1:8" ht="15.75" customHeight="1" x14ac:dyDescent="0.2">
      <c r="A41" s="22" t="s">
        <v>71</v>
      </c>
      <c r="B41" s="22" t="s">
        <v>14</v>
      </c>
      <c r="C41" s="22" t="s">
        <v>72</v>
      </c>
      <c r="D41" s="23">
        <v>1000</v>
      </c>
      <c r="E41" s="22"/>
      <c r="F41" s="22"/>
      <c r="G41" s="37">
        <f>-230.7-301.35</f>
        <v>-532.04999999999995</v>
      </c>
      <c r="H41" s="24">
        <f t="shared" si="2"/>
        <v>467.95000000000005</v>
      </c>
    </row>
    <row r="42" spans="1:8" ht="15.75" customHeight="1" x14ac:dyDescent="0.25">
      <c r="A42" s="38" t="s">
        <v>73</v>
      </c>
      <c r="B42" s="39" t="s">
        <v>14</v>
      </c>
      <c r="C42" s="39" t="s">
        <v>74</v>
      </c>
      <c r="D42" s="39"/>
      <c r="E42" s="40">
        <f>SUM(D43:D44)</f>
        <v>10790</v>
      </c>
      <c r="F42" s="39"/>
      <c r="G42" s="42">
        <f>SUM(SUM(G43:G44))</f>
        <v>-8008.84</v>
      </c>
      <c r="H42" s="43">
        <f t="shared" si="0"/>
        <v>2781.16</v>
      </c>
    </row>
    <row r="43" spans="1:8" ht="15.75" customHeight="1" x14ac:dyDescent="0.2">
      <c r="A43" s="22" t="s">
        <v>25</v>
      </c>
      <c r="B43" s="22" t="s">
        <v>14</v>
      </c>
      <c r="C43" s="22" t="s">
        <v>75</v>
      </c>
      <c r="D43" s="23">
        <v>2000</v>
      </c>
      <c r="E43" s="22"/>
      <c r="F43" s="22"/>
      <c r="G43" s="37">
        <f>-201.71-162</f>
        <v>-363.71000000000004</v>
      </c>
      <c r="H43" s="24">
        <f>D43+G43</f>
        <v>1636.29</v>
      </c>
    </row>
    <row r="44" spans="1:8" ht="15.75" customHeight="1" x14ac:dyDescent="0.2">
      <c r="A44" s="22" t="s">
        <v>76</v>
      </c>
      <c r="B44" s="22" t="s">
        <v>14</v>
      </c>
      <c r="C44" s="22" t="s">
        <v>77</v>
      </c>
      <c r="D44" s="23">
        <f>7325+1465</f>
        <v>8790</v>
      </c>
      <c r="E44" s="22"/>
      <c r="F44" s="22"/>
      <c r="G44" s="37">
        <f>'RCO Early Event'!F25</f>
        <v>-7645.13</v>
      </c>
      <c r="H44" s="24">
        <f>D44+G44</f>
        <v>1144.8699999999999</v>
      </c>
    </row>
    <row r="45" spans="1:8" ht="15.75" customHeight="1" x14ac:dyDescent="0.25">
      <c r="A45" s="38" t="s">
        <v>78</v>
      </c>
      <c r="B45" s="39" t="s">
        <v>14</v>
      </c>
      <c r="C45" s="39" t="s">
        <v>79</v>
      </c>
      <c r="D45" s="39"/>
      <c r="E45" s="40">
        <f>SUM(D46)</f>
        <v>4000</v>
      </c>
      <c r="F45" s="39"/>
      <c r="G45" s="42">
        <f>G46</f>
        <v>-845.36999999999989</v>
      </c>
      <c r="H45" s="43">
        <f t="shared" si="0"/>
        <v>3154.63</v>
      </c>
    </row>
    <row r="46" spans="1:8" ht="15.75" customHeight="1" x14ac:dyDescent="0.2">
      <c r="A46" s="22" t="s">
        <v>25</v>
      </c>
      <c r="B46" s="22" t="s">
        <v>14</v>
      </c>
      <c r="C46" s="22" t="s">
        <v>80</v>
      </c>
      <c r="D46" s="23">
        <f>1000+3000</f>
        <v>4000</v>
      </c>
      <c r="E46" s="22"/>
      <c r="F46" s="22"/>
      <c r="G46" s="37">
        <f>-210-234.69-145.38-74.52-76.35-104.43</f>
        <v>-845.36999999999989</v>
      </c>
      <c r="H46" s="24">
        <f>D46+G46</f>
        <v>3154.63</v>
      </c>
    </row>
    <row r="47" spans="1:8" ht="15.75" customHeight="1" x14ac:dyDescent="0.25">
      <c r="A47" s="38" t="s">
        <v>81</v>
      </c>
      <c r="B47" s="39" t="s">
        <v>14</v>
      </c>
      <c r="C47" s="39" t="s">
        <v>82</v>
      </c>
      <c r="D47" s="39"/>
      <c r="E47" s="40">
        <f>SUM(D48:D53)</f>
        <v>7300</v>
      </c>
      <c r="F47" s="39"/>
      <c r="G47" s="42">
        <f>SUM(G48:G53)</f>
        <v>-5715.17</v>
      </c>
      <c r="H47" s="43">
        <f t="shared" si="0"/>
        <v>1584.83</v>
      </c>
    </row>
    <row r="48" spans="1:8" ht="15.75" customHeight="1" x14ac:dyDescent="0.2">
      <c r="A48" s="22" t="s">
        <v>25</v>
      </c>
      <c r="B48" s="22" t="s">
        <v>14</v>
      </c>
      <c r="C48" s="22" t="s">
        <v>83</v>
      </c>
      <c r="D48" s="23">
        <v>300</v>
      </c>
      <c r="E48" s="22"/>
      <c r="F48" s="22"/>
      <c r="G48" s="37">
        <f>-30.14-1.7-244.84</f>
        <v>-276.68</v>
      </c>
      <c r="H48" s="24">
        <f t="shared" ref="H48:H53" si="3">D48+G48</f>
        <v>23.319999999999993</v>
      </c>
    </row>
    <row r="49" spans="1:9" ht="15.75" customHeight="1" x14ac:dyDescent="0.2">
      <c r="A49" s="22" t="s">
        <v>84</v>
      </c>
      <c r="B49" s="22" t="s">
        <v>14</v>
      </c>
      <c r="C49" s="22" t="s">
        <v>85</v>
      </c>
      <c r="D49" s="23">
        <v>1000</v>
      </c>
      <c r="E49" s="22"/>
      <c r="F49" s="22"/>
      <c r="G49" s="37">
        <f>-143.82-216.65</f>
        <v>-360.47</v>
      </c>
      <c r="H49" s="24">
        <f t="shared" si="3"/>
        <v>639.53</v>
      </c>
    </row>
    <row r="50" spans="1:9" ht="15.75" customHeight="1" x14ac:dyDescent="0.2">
      <c r="A50" s="22" t="s">
        <v>86</v>
      </c>
      <c r="B50" s="22" t="s">
        <v>14</v>
      </c>
      <c r="C50" s="22" t="s">
        <v>87</v>
      </c>
      <c r="D50" s="23">
        <v>1000</v>
      </c>
      <c r="E50" s="22"/>
      <c r="F50" s="22"/>
      <c r="G50" s="37">
        <f>-924.97</f>
        <v>-924.97</v>
      </c>
      <c r="H50" s="24">
        <f t="shared" si="3"/>
        <v>75.029999999999973</v>
      </c>
    </row>
    <row r="51" spans="1:9" ht="15.75" customHeight="1" x14ac:dyDescent="0.2">
      <c r="A51" s="22" t="s">
        <v>88</v>
      </c>
      <c r="B51" s="22" t="s">
        <v>14</v>
      </c>
      <c r="C51" s="22" t="s">
        <v>89</v>
      </c>
      <c r="D51" s="23">
        <v>1000</v>
      </c>
      <c r="E51" s="22"/>
      <c r="F51" s="22"/>
      <c r="G51" s="37">
        <f>-268.5-110.86</f>
        <v>-379.36</v>
      </c>
      <c r="H51" s="24">
        <f t="shared" si="3"/>
        <v>620.64</v>
      </c>
    </row>
    <row r="52" spans="1:9" ht="15.75" customHeight="1" x14ac:dyDescent="0.2">
      <c r="A52" s="22" t="s">
        <v>90</v>
      </c>
      <c r="B52" s="22" t="s">
        <v>14</v>
      </c>
      <c r="C52" s="22" t="s">
        <v>91</v>
      </c>
      <c r="D52" s="23">
        <v>3000</v>
      </c>
      <c r="E52" s="22"/>
      <c r="F52" s="22"/>
      <c r="G52" s="37">
        <f>-248-46.89-61.16-7.01-16-8-11.17-914.59-47.23-89.58-86.77-41.65-41.65-41.65-8-190.81-528.92-102.72-41.65-120-54.11-22.07-62.23-18.9-18.99-41.65-9.79-41.65-19.28-4.14-35.23-16.66-685.17-11.07-41.65-40-19.38-55.56-3.87-47.4-20.04+148.6</f>
        <v>-3773.6900000000005</v>
      </c>
      <c r="H52" s="24">
        <f t="shared" si="3"/>
        <v>-773.69000000000051</v>
      </c>
    </row>
    <row r="53" spans="1:9" ht="15.75" customHeight="1" x14ac:dyDescent="0.2">
      <c r="A53" s="22" t="s">
        <v>92</v>
      </c>
      <c r="B53" s="22" t="s">
        <v>14</v>
      </c>
      <c r="C53" s="22" t="s">
        <v>93</v>
      </c>
      <c r="D53" s="23">
        <v>1000</v>
      </c>
      <c r="E53" s="22"/>
      <c r="F53" s="22"/>
      <c r="G53" s="37">
        <v>0</v>
      </c>
      <c r="H53" s="24">
        <f t="shared" si="3"/>
        <v>1000</v>
      </c>
    </row>
    <row r="54" spans="1:9" ht="15.75" customHeight="1" x14ac:dyDescent="0.25">
      <c r="A54" s="38" t="s">
        <v>94</v>
      </c>
      <c r="B54" s="39" t="s">
        <v>14</v>
      </c>
      <c r="C54" s="39" t="s">
        <v>95</v>
      </c>
      <c r="D54" s="39"/>
      <c r="E54" s="40">
        <v>325</v>
      </c>
      <c r="F54" s="39"/>
      <c r="G54" s="42">
        <v>0</v>
      </c>
      <c r="H54" s="43">
        <f t="shared" si="0"/>
        <v>325</v>
      </c>
    </row>
    <row r="55" spans="1:9" ht="15.75" customHeight="1" x14ac:dyDescent="0.2">
      <c r="A55" s="22" t="s">
        <v>96</v>
      </c>
      <c r="B55" s="22" t="s">
        <v>14</v>
      </c>
      <c r="C55" s="22" t="s">
        <v>97</v>
      </c>
      <c r="D55" s="22"/>
      <c r="E55" s="23">
        <v>2000</v>
      </c>
      <c r="F55" s="22"/>
      <c r="G55" s="37">
        <f>-148.13</f>
        <v>-148.13</v>
      </c>
      <c r="H55" s="24">
        <f t="shared" si="0"/>
        <v>1851.87</v>
      </c>
    </row>
    <row r="56" spans="1:9" ht="15.75" customHeight="1" x14ac:dyDescent="0.2">
      <c r="A56" s="22" t="s">
        <v>98</v>
      </c>
      <c r="B56" s="22" t="s">
        <v>14</v>
      </c>
      <c r="C56" s="22" t="s">
        <v>99</v>
      </c>
      <c r="D56" s="22"/>
      <c r="E56" s="23">
        <v>7000</v>
      </c>
      <c r="F56" s="22"/>
      <c r="G56" s="37">
        <v>0</v>
      </c>
      <c r="H56" s="24">
        <f t="shared" si="0"/>
        <v>7000</v>
      </c>
    </row>
    <row r="57" spans="1:9" ht="15.75" customHeight="1" x14ac:dyDescent="0.2">
      <c r="A57" s="22" t="s">
        <v>100</v>
      </c>
      <c r="B57" s="22" t="s">
        <v>14</v>
      </c>
      <c r="C57" s="22" t="s">
        <v>101</v>
      </c>
      <c r="D57" s="22"/>
      <c r="E57" s="23">
        <f>3000+4000</f>
        <v>7000</v>
      </c>
      <c r="F57" s="22"/>
      <c r="G57" s="37">
        <f>-76-17.61-131.51-268.4-24.66-113.51-542.8-43.24-67.54-38.19-36.19-111.34-8.77-67.89-58.18-96.74-30.54-107.78-27.58+139.38-122.62-133.65</f>
        <v>-1985.3599999999997</v>
      </c>
      <c r="H57" s="24">
        <f t="shared" si="0"/>
        <v>5014.6400000000003</v>
      </c>
    </row>
    <row r="58" spans="1:9" ht="15.75" customHeight="1" x14ac:dyDescent="0.2">
      <c r="A58" s="22" t="s">
        <v>102</v>
      </c>
      <c r="B58" s="22" t="s">
        <v>14</v>
      </c>
      <c r="C58" s="22" t="s">
        <v>103</v>
      </c>
      <c r="D58" s="22"/>
      <c r="E58" s="23">
        <f>4000-4000</f>
        <v>0</v>
      </c>
      <c r="F58" s="22"/>
      <c r="G58" s="37">
        <v>0</v>
      </c>
      <c r="H58" s="24">
        <f t="shared" si="0"/>
        <v>0</v>
      </c>
    </row>
    <row r="59" spans="1:9" ht="15.75" customHeight="1" x14ac:dyDescent="0.2">
      <c r="A59" s="25" t="s">
        <v>104</v>
      </c>
      <c r="B59" s="25" t="s">
        <v>105</v>
      </c>
      <c r="C59" s="25"/>
      <c r="D59" s="25"/>
      <c r="E59" s="25"/>
      <c r="F59" s="26">
        <f>SUM(D60:D61)</f>
        <v>49236.109999999993</v>
      </c>
      <c r="G59" s="105">
        <f>G60+G61</f>
        <v>-2704.94</v>
      </c>
      <c r="H59" s="5">
        <f>F59+G59</f>
        <v>46531.169999999991</v>
      </c>
      <c r="I59" s="7">
        <f>F59/E7</f>
        <v>6.3663377218502598E-2</v>
      </c>
    </row>
    <row r="60" spans="1:9" ht="15.75" customHeight="1" x14ac:dyDescent="0.2">
      <c r="A60" s="22" t="s">
        <v>106</v>
      </c>
      <c r="B60" s="22" t="s">
        <v>107</v>
      </c>
      <c r="C60" s="22"/>
      <c r="D60" s="23">
        <f>35467-910-800-1500-5467+21114.26+1331.85</f>
        <v>49236.109999999993</v>
      </c>
      <c r="E60" s="22"/>
      <c r="F60" s="22"/>
      <c r="G60" s="37">
        <f>-207.86-207.86-207.86-187.86-605.4-308.96-455.52-294.79-228.83</f>
        <v>-2704.94</v>
      </c>
      <c r="H60" s="24">
        <f>D60+G60</f>
        <v>46531.169999999991</v>
      </c>
    </row>
    <row r="61" spans="1:9" ht="15.75" customHeight="1" x14ac:dyDescent="0.2">
      <c r="A61" s="22" t="s">
        <v>108</v>
      </c>
      <c r="B61" s="22" t="s">
        <v>109</v>
      </c>
      <c r="C61" s="22"/>
      <c r="D61" s="23">
        <v>0</v>
      </c>
      <c r="E61" s="22"/>
      <c r="F61" s="22"/>
      <c r="G61" s="37">
        <v>0</v>
      </c>
      <c r="H61" s="24">
        <f>D61+G61</f>
        <v>0</v>
      </c>
    </row>
    <row r="62" spans="1:9" ht="15.75" customHeight="1" x14ac:dyDescent="0.2">
      <c r="A62" s="25" t="s">
        <v>110</v>
      </c>
      <c r="B62" s="25" t="s">
        <v>111</v>
      </c>
      <c r="C62" s="25"/>
      <c r="D62" s="25"/>
      <c r="E62" s="25"/>
      <c r="F62" s="26">
        <f>SUM(E63:E75)</f>
        <v>162212</v>
      </c>
      <c r="G62" s="105">
        <f>G63+G64+G65+G68</f>
        <v>-50304.229999999996</v>
      </c>
      <c r="H62" s="5">
        <f>F62+G62</f>
        <v>111907.77</v>
      </c>
      <c r="I62" s="7">
        <f>F62/E7</f>
        <v>0.2097436971638853</v>
      </c>
    </row>
    <row r="63" spans="1:9" ht="15.75" customHeight="1" x14ac:dyDescent="0.2">
      <c r="A63" s="27" t="s">
        <v>112</v>
      </c>
      <c r="B63" s="27" t="s">
        <v>113</v>
      </c>
      <c r="C63" s="27" t="s">
        <v>114</v>
      </c>
      <c r="D63" s="27"/>
      <c r="E63" s="28">
        <f>93000+14000</f>
        <v>107000</v>
      </c>
      <c r="F63" s="27"/>
      <c r="G63" s="106">
        <f>'ICC Bills'!G83</f>
        <v>-32949.589999999997</v>
      </c>
      <c r="H63" s="29">
        <f t="shared" ref="H63:H77" si="4">E63+G63</f>
        <v>74050.41</v>
      </c>
    </row>
    <row r="64" spans="1:9" ht="15.75" customHeight="1" x14ac:dyDescent="0.2">
      <c r="A64" s="30" t="s">
        <v>115</v>
      </c>
      <c r="B64" s="30" t="s">
        <v>111</v>
      </c>
      <c r="C64" s="30" t="s">
        <v>116</v>
      </c>
      <c r="D64" s="30"/>
      <c r="E64" s="31">
        <v>5000</v>
      </c>
      <c r="F64" s="30"/>
      <c r="G64" s="113">
        <f>-114.79-52.49-133.25-117.09-759.99-101.88-8-1108.8-8-111.76</f>
        <v>-2516.0500000000002</v>
      </c>
      <c r="H64" s="32">
        <f t="shared" si="4"/>
        <v>2483.9499999999998</v>
      </c>
    </row>
    <row r="65" spans="1:9" ht="15.75" customHeight="1" x14ac:dyDescent="0.2">
      <c r="A65" s="30" t="s">
        <v>117</v>
      </c>
      <c r="B65" s="30" t="s">
        <v>111</v>
      </c>
      <c r="C65" s="30" t="s">
        <v>118</v>
      </c>
      <c r="D65" s="30"/>
      <c r="E65" s="31">
        <f>SUM(D66:D67)</f>
        <v>22472</v>
      </c>
      <c r="F65" s="30"/>
      <c r="G65" s="107">
        <f>G66+G67</f>
        <v>-1770</v>
      </c>
      <c r="H65" s="32">
        <f t="shared" si="4"/>
        <v>20702</v>
      </c>
    </row>
    <row r="66" spans="1:9" ht="15.75" customHeight="1" x14ac:dyDescent="0.2">
      <c r="A66" s="22" t="s">
        <v>119</v>
      </c>
      <c r="B66" s="22" t="s">
        <v>111</v>
      </c>
      <c r="C66" s="22" t="s">
        <v>120</v>
      </c>
      <c r="D66" s="23">
        <v>9472</v>
      </c>
      <c r="E66" s="22"/>
      <c r="F66" s="22"/>
      <c r="G66" s="37">
        <f>-1770</f>
        <v>-1770</v>
      </c>
      <c r="H66" s="24">
        <f>D66-G66</f>
        <v>11242</v>
      </c>
    </row>
    <row r="67" spans="1:9" ht="15.75" customHeight="1" x14ac:dyDescent="0.2">
      <c r="A67" s="22" t="s">
        <v>121</v>
      </c>
      <c r="B67" s="22" t="s">
        <v>111</v>
      </c>
      <c r="C67" s="22" t="s">
        <v>122</v>
      </c>
      <c r="D67" s="23">
        <v>13000</v>
      </c>
      <c r="E67" s="22"/>
      <c r="F67" s="22"/>
      <c r="G67" s="37">
        <v>0</v>
      </c>
      <c r="H67" s="24">
        <f>D67-G67</f>
        <v>13000</v>
      </c>
    </row>
    <row r="68" spans="1:9" ht="15.75" customHeight="1" x14ac:dyDescent="0.2">
      <c r="A68" s="30" t="s">
        <v>123</v>
      </c>
      <c r="B68" s="30" t="s">
        <v>111</v>
      </c>
      <c r="C68" s="30" t="s">
        <v>124</v>
      </c>
      <c r="D68" s="30"/>
      <c r="E68" s="31">
        <f>SUM(D69:D70)</f>
        <v>14190</v>
      </c>
      <c r="F68" s="30"/>
      <c r="G68" s="107">
        <f>SUM(SUM(G69:G75))</f>
        <v>-13068.59</v>
      </c>
      <c r="H68" s="32">
        <f t="shared" si="4"/>
        <v>1121.4099999999999</v>
      </c>
    </row>
    <row r="69" spans="1:9" ht="15.75" customHeight="1" x14ac:dyDescent="0.2">
      <c r="A69" s="22" t="s">
        <v>125</v>
      </c>
      <c r="B69" s="22" t="s">
        <v>111</v>
      </c>
      <c r="C69" s="22" t="s">
        <v>126</v>
      </c>
      <c r="D69" s="23">
        <v>6000</v>
      </c>
      <c r="E69" s="22"/>
      <c r="F69" s="22"/>
      <c r="G69" s="37">
        <v>0</v>
      </c>
      <c r="H69" s="24">
        <f>D69+G69</f>
        <v>6000</v>
      </c>
    </row>
    <row r="70" spans="1:9" ht="15.75" customHeight="1" x14ac:dyDescent="0.2">
      <c r="A70" s="22" t="s">
        <v>127</v>
      </c>
      <c r="B70" s="22" t="s">
        <v>111</v>
      </c>
      <c r="C70" s="22" t="s">
        <v>128</v>
      </c>
      <c r="D70" s="23">
        <v>8190</v>
      </c>
      <c r="E70" s="22"/>
      <c r="F70" s="22"/>
      <c r="G70" s="37">
        <f>-529.29-1160.5-371.21-6129</f>
        <v>-8190</v>
      </c>
      <c r="H70" s="24">
        <f>D70+G70</f>
        <v>0</v>
      </c>
    </row>
    <row r="71" spans="1:9" ht="15.75" customHeight="1" x14ac:dyDescent="0.2">
      <c r="A71" s="22" t="s">
        <v>129</v>
      </c>
      <c r="B71" s="22" t="s">
        <v>111</v>
      </c>
      <c r="C71" s="22" t="s">
        <v>130</v>
      </c>
      <c r="D71" s="22"/>
      <c r="E71" s="23">
        <v>2500</v>
      </c>
      <c r="F71" s="22"/>
      <c r="G71" s="37">
        <v>0</v>
      </c>
      <c r="H71" s="24">
        <f t="shared" si="4"/>
        <v>2500</v>
      </c>
    </row>
    <row r="72" spans="1:9" ht="15.75" customHeight="1" x14ac:dyDescent="0.2">
      <c r="A72" s="22" t="s">
        <v>131</v>
      </c>
      <c r="B72" s="22" t="s">
        <v>111</v>
      </c>
      <c r="C72" s="22" t="s">
        <v>132</v>
      </c>
      <c r="D72" s="22"/>
      <c r="E72" s="23">
        <v>700</v>
      </c>
      <c r="F72" s="22"/>
      <c r="G72" s="37">
        <f>-62.76-120.6-250-124.02-85.67-116.9</f>
        <v>-759.94999999999993</v>
      </c>
      <c r="H72" s="24">
        <f t="shared" si="4"/>
        <v>-59.949999999999932</v>
      </c>
    </row>
    <row r="73" spans="1:9" ht="15.75" customHeight="1" x14ac:dyDescent="0.2">
      <c r="A73" s="22" t="s">
        <v>133</v>
      </c>
      <c r="B73" s="22" t="s">
        <v>111</v>
      </c>
      <c r="C73" s="22" t="s">
        <v>134</v>
      </c>
      <c r="D73" s="22"/>
      <c r="E73" s="33">
        <f>3000+1500+900</f>
        <v>5400</v>
      </c>
      <c r="F73" s="22"/>
      <c r="G73" s="37">
        <f>-1125-1204.26-1650</f>
        <v>-3979.26</v>
      </c>
      <c r="H73" s="24">
        <f t="shared" si="4"/>
        <v>1420.7399999999998</v>
      </c>
    </row>
    <row r="74" spans="1:9" ht="15.75" customHeight="1" x14ac:dyDescent="0.2">
      <c r="A74" s="22" t="s">
        <v>135</v>
      </c>
      <c r="B74" s="22" t="s">
        <v>111</v>
      </c>
      <c r="C74" s="22" t="s">
        <v>136</v>
      </c>
      <c r="D74" s="22"/>
      <c r="E74" s="23">
        <v>3000</v>
      </c>
      <c r="F74" s="22"/>
      <c r="G74" s="37">
        <f>-139.38</f>
        <v>-139.38</v>
      </c>
      <c r="H74" s="24">
        <f t="shared" si="4"/>
        <v>2860.62</v>
      </c>
    </row>
    <row r="75" spans="1:9" ht="15.75" customHeight="1" x14ac:dyDescent="0.2">
      <c r="A75" s="22" t="s">
        <v>137</v>
      </c>
      <c r="B75" s="22" t="s">
        <v>111</v>
      </c>
      <c r="C75" s="22" t="s">
        <v>138</v>
      </c>
      <c r="D75" s="22"/>
      <c r="E75" s="23">
        <v>1950</v>
      </c>
      <c r="F75" s="22"/>
      <c r="G75" s="37">
        <v>0</v>
      </c>
      <c r="H75" s="24">
        <f t="shared" si="4"/>
        <v>1950</v>
      </c>
    </row>
    <row r="76" spans="1:9" ht="15.75" customHeight="1" x14ac:dyDescent="0.2">
      <c r="A76" s="25" t="s">
        <v>139</v>
      </c>
      <c r="B76" s="25" t="s">
        <v>140</v>
      </c>
      <c r="C76" s="25"/>
      <c r="D76" s="25"/>
      <c r="E76" s="25"/>
      <c r="F76" s="26">
        <f>SUM(E77:E104)</f>
        <v>210169.2</v>
      </c>
      <c r="G76" s="108">
        <f>G77+G102</f>
        <v>-107921.12</v>
      </c>
      <c r="H76" s="34">
        <f t="shared" si="4"/>
        <v>-107921.12</v>
      </c>
      <c r="I76" s="7">
        <f>F76/E7</f>
        <v>0.27175341551781651</v>
      </c>
    </row>
    <row r="77" spans="1:9" ht="15.75" customHeight="1" x14ac:dyDescent="0.2">
      <c r="A77" s="30" t="s">
        <v>141</v>
      </c>
      <c r="B77" s="30" t="s">
        <v>140</v>
      </c>
      <c r="C77" s="30" t="s">
        <v>142</v>
      </c>
      <c r="D77" s="30"/>
      <c r="E77" s="31">
        <f>SUM(D78:D101)</f>
        <v>103365</v>
      </c>
      <c r="F77" s="30"/>
      <c r="G77" s="107">
        <f>SUM(G78:G101)</f>
        <v>-60600.700000000004</v>
      </c>
      <c r="H77" s="32">
        <f t="shared" si="4"/>
        <v>42764.299999999996</v>
      </c>
    </row>
    <row r="78" spans="1:9" ht="15.75" customHeight="1" x14ac:dyDescent="0.2">
      <c r="A78" s="22" t="s">
        <v>143</v>
      </c>
      <c r="B78" s="22" t="s">
        <v>140</v>
      </c>
      <c r="C78" s="22" t="s">
        <v>144</v>
      </c>
      <c r="D78" s="23">
        <v>2346</v>
      </c>
      <c r="E78" s="22"/>
      <c r="F78" s="22"/>
      <c r="G78" s="37">
        <v>0</v>
      </c>
      <c r="H78" s="24">
        <f>D78+G78</f>
        <v>2346</v>
      </c>
    </row>
    <row r="79" spans="1:9" ht="15.75" customHeight="1" x14ac:dyDescent="0.2">
      <c r="A79" s="22" t="s">
        <v>145</v>
      </c>
      <c r="B79" s="22" t="s">
        <v>140</v>
      </c>
      <c r="C79" s="22" t="s">
        <v>146</v>
      </c>
      <c r="D79" s="23">
        <v>2150</v>
      </c>
      <c r="E79" s="22"/>
      <c r="F79" s="22"/>
      <c r="G79" s="37">
        <f>-99-1188-871</f>
        <v>-2158</v>
      </c>
      <c r="H79" s="24">
        <f>D79+G79</f>
        <v>-8</v>
      </c>
    </row>
    <row r="80" spans="1:9" ht="15.75" customHeight="1" x14ac:dyDescent="0.2">
      <c r="A80" s="22" t="s">
        <v>147</v>
      </c>
      <c r="B80" s="22" t="s">
        <v>140</v>
      </c>
      <c r="C80" s="22" t="s">
        <v>148</v>
      </c>
      <c r="D80" s="23">
        <v>2000</v>
      </c>
      <c r="E80" s="22"/>
      <c r="F80" s="22" t="s">
        <v>149</v>
      </c>
      <c r="G80" s="37">
        <v>0</v>
      </c>
      <c r="H80" s="24">
        <f t="shared" ref="H80:H101" si="5">D80+G80</f>
        <v>2000</v>
      </c>
    </row>
    <row r="81" spans="1:8" ht="15.75" customHeight="1" x14ac:dyDescent="0.2">
      <c r="A81" s="22" t="s">
        <v>150</v>
      </c>
      <c r="B81" s="22" t="s">
        <v>140</v>
      </c>
      <c r="C81" s="22" t="s">
        <v>151</v>
      </c>
      <c r="D81" s="23">
        <v>8500</v>
      </c>
      <c r="E81" s="22"/>
      <c r="F81" s="22"/>
      <c r="G81" s="37">
        <f>-4200-4580</f>
        <v>-8780</v>
      </c>
      <c r="H81" s="24">
        <f t="shared" si="5"/>
        <v>-280</v>
      </c>
    </row>
    <row r="82" spans="1:8" ht="15.75" customHeight="1" x14ac:dyDescent="0.2">
      <c r="A82" s="22" t="s">
        <v>152</v>
      </c>
      <c r="B82" s="22" t="s">
        <v>140</v>
      </c>
      <c r="C82" s="22" t="s">
        <v>153</v>
      </c>
      <c r="D82" s="23">
        <v>3000</v>
      </c>
      <c r="E82" s="22"/>
      <c r="F82" s="22"/>
      <c r="G82" s="37">
        <f>-275-275-7.5-7.5-292.8-330.04-7.5-7.5-11-236.56-106.52-507.39-137.84-72.35</f>
        <v>-2274.5</v>
      </c>
      <c r="H82" s="24">
        <f t="shared" si="5"/>
        <v>725.5</v>
      </c>
    </row>
    <row r="83" spans="1:8" ht="15.75" customHeight="1" x14ac:dyDescent="0.2">
      <c r="A83" s="22" t="s">
        <v>154</v>
      </c>
      <c r="B83" s="22" t="s">
        <v>140</v>
      </c>
      <c r="C83" s="22" t="s">
        <v>155</v>
      </c>
      <c r="D83" s="23">
        <v>10000</v>
      </c>
      <c r="E83" s="22"/>
      <c r="F83" s="22"/>
      <c r="G83" s="37">
        <f>-1600-6720-1000</f>
        <v>-9320</v>
      </c>
      <c r="H83" s="24">
        <f t="shared" si="5"/>
        <v>680</v>
      </c>
    </row>
    <row r="84" spans="1:8" ht="15.75" customHeight="1" x14ac:dyDescent="0.2">
      <c r="A84" s="22" t="s">
        <v>156</v>
      </c>
      <c r="B84" s="22" t="s">
        <v>140</v>
      </c>
      <c r="C84" s="22" t="s">
        <v>157</v>
      </c>
      <c r="D84" s="23">
        <v>1660</v>
      </c>
      <c r="E84" s="22"/>
      <c r="F84" s="22"/>
      <c r="G84" s="37">
        <f>-90-450-761.94-143.75-363.66</f>
        <v>-1809.3500000000001</v>
      </c>
      <c r="H84" s="24">
        <f t="shared" si="5"/>
        <v>-149.35000000000014</v>
      </c>
    </row>
    <row r="85" spans="1:8" ht="15.75" customHeight="1" x14ac:dyDescent="0.2">
      <c r="A85" s="22" t="s">
        <v>158</v>
      </c>
      <c r="B85" s="22" t="s">
        <v>140</v>
      </c>
      <c r="C85" s="22" t="s">
        <v>159</v>
      </c>
      <c r="D85" s="23">
        <v>1700</v>
      </c>
      <c r="E85" s="22"/>
      <c r="F85" s="22"/>
      <c r="G85" s="37">
        <f>-40-32-734.34-641.6-641.6-641.6-641.6+1680-7.26</f>
        <v>-1699.9999999999998</v>
      </c>
      <c r="H85" s="24">
        <f t="shared" si="5"/>
        <v>0</v>
      </c>
    </row>
    <row r="86" spans="1:8" ht="15.75" customHeight="1" x14ac:dyDescent="0.2">
      <c r="A86" s="22" t="s">
        <v>160</v>
      </c>
      <c r="B86" s="22" t="s">
        <v>140</v>
      </c>
      <c r="C86" s="22" t="s">
        <v>161</v>
      </c>
      <c r="D86" s="23">
        <v>5000</v>
      </c>
      <c r="E86" s="22"/>
      <c r="F86" s="22"/>
      <c r="G86" s="37">
        <v>0</v>
      </c>
      <c r="H86" s="24">
        <f t="shared" si="5"/>
        <v>5000</v>
      </c>
    </row>
    <row r="87" spans="1:8" ht="15.75" customHeight="1" x14ac:dyDescent="0.2">
      <c r="A87" s="22" t="s">
        <v>162</v>
      </c>
      <c r="B87" s="22" t="s">
        <v>140</v>
      </c>
      <c r="C87" s="22" t="s">
        <v>163</v>
      </c>
      <c r="D87" s="23">
        <v>2500</v>
      </c>
      <c r="E87" s="22"/>
      <c r="F87" s="22"/>
      <c r="G87" s="37">
        <v>0</v>
      </c>
      <c r="H87" s="24">
        <f t="shared" si="5"/>
        <v>2500</v>
      </c>
    </row>
    <row r="88" spans="1:8" ht="15.75" customHeight="1" x14ac:dyDescent="0.2">
      <c r="A88" s="22" t="s">
        <v>164</v>
      </c>
      <c r="B88" s="22" t="s">
        <v>140</v>
      </c>
      <c r="C88" s="22" t="s">
        <v>165</v>
      </c>
      <c r="D88" s="23">
        <f>2500+600</f>
        <v>3100</v>
      </c>
      <c r="E88" s="22"/>
      <c r="F88" s="22"/>
      <c r="G88" s="37">
        <f>-206.51-206.51</f>
        <v>-413.02</v>
      </c>
      <c r="H88" s="24">
        <f t="shared" si="5"/>
        <v>2686.98</v>
      </c>
    </row>
    <row r="89" spans="1:8" ht="15.75" customHeight="1" x14ac:dyDescent="0.2">
      <c r="A89" s="22" t="s">
        <v>166</v>
      </c>
      <c r="B89" s="22" t="s">
        <v>140</v>
      </c>
      <c r="C89" s="22" t="s">
        <v>167</v>
      </c>
      <c r="D89" s="23">
        <v>3500</v>
      </c>
      <c r="E89" s="22"/>
      <c r="F89" s="22"/>
      <c r="G89" s="37">
        <f>-3460</f>
        <v>-3460</v>
      </c>
      <c r="H89" s="24">
        <f t="shared" si="5"/>
        <v>40</v>
      </c>
    </row>
    <row r="90" spans="1:8" ht="15.75" customHeight="1" x14ac:dyDescent="0.2">
      <c r="A90" s="35" t="s">
        <v>168</v>
      </c>
      <c r="B90" s="22" t="s">
        <v>140</v>
      </c>
      <c r="C90" s="22" t="s">
        <v>169</v>
      </c>
      <c r="D90" s="23">
        <v>4000</v>
      </c>
      <c r="E90" s="22"/>
      <c r="F90" s="22"/>
      <c r="G90" s="37">
        <f>-457.91-475.5-66-97.38-555.69</f>
        <v>-1652.48</v>
      </c>
      <c r="H90" s="24">
        <f t="shared" si="5"/>
        <v>2347.52</v>
      </c>
    </row>
    <row r="91" spans="1:8" ht="15.75" customHeight="1" x14ac:dyDescent="0.2">
      <c r="A91" s="22" t="s">
        <v>170</v>
      </c>
      <c r="B91" s="22" t="s">
        <v>140</v>
      </c>
      <c r="C91" s="22" t="s">
        <v>171</v>
      </c>
      <c r="D91" s="23">
        <v>3500</v>
      </c>
      <c r="E91" s="22"/>
      <c r="F91" s="22"/>
      <c r="G91" s="37">
        <v>0</v>
      </c>
      <c r="H91" s="24">
        <f t="shared" si="5"/>
        <v>3500</v>
      </c>
    </row>
    <row r="92" spans="1:8" ht="15.75" customHeight="1" x14ac:dyDescent="0.2">
      <c r="A92" s="22" t="s">
        <v>172</v>
      </c>
      <c r="B92" s="22" t="s">
        <v>140</v>
      </c>
      <c r="C92" s="22" t="s">
        <v>173</v>
      </c>
      <c r="D92" s="23">
        <v>2000</v>
      </c>
      <c r="E92" s="22"/>
      <c r="F92" s="22"/>
      <c r="G92" s="37">
        <v>0</v>
      </c>
      <c r="H92" s="24">
        <f t="shared" si="5"/>
        <v>2000</v>
      </c>
    </row>
    <row r="93" spans="1:8" ht="15.75" customHeight="1" x14ac:dyDescent="0.2">
      <c r="A93" s="22" t="s">
        <v>174</v>
      </c>
      <c r="B93" s="22" t="s">
        <v>140</v>
      </c>
      <c r="C93" s="22" t="s">
        <v>175</v>
      </c>
      <c r="D93" s="23">
        <v>11000</v>
      </c>
      <c r="E93" s="22"/>
      <c r="F93" s="22"/>
      <c r="G93" s="37">
        <f>-112-68.94-68.94-68.94-75.78-75.78-75.78-75.78</f>
        <v>-621.93999999999994</v>
      </c>
      <c r="H93" s="24">
        <f t="shared" si="5"/>
        <v>10378.06</v>
      </c>
    </row>
    <row r="94" spans="1:8" ht="15.75" customHeight="1" x14ac:dyDescent="0.2">
      <c r="A94" s="22" t="s">
        <v>176</v>
      </c>
      <c r="B94" s="22" t="s">
        <v>140</v>
      </c>
      <c r="C94" s="22" t="s">
        <v>177</v>
      </c>
      <c r="D94" s="23">
        <v>1600</v>
      </c>
      <c r="E94" s="22"/>
      <c r="F94" s="22"/>
      <c r="G94" s="37">
        <v>0</v>
      </c>
      <c r="H94" s="24">
        <f t="shared" si="5"/>
        <v>1600</v>
      </c>
    </row>
    <row r="95" spans="1:8" ht="15.75" customHeight="1" x14ac:dyDescent="0.2">
      <c r="A95" s="22" t="s">
        <v>178</v>
      </c>
      <c r="B95" s="22" t="s">
        <v>140</v>
      </c>
      <c r="C95" s="22" t="s">
        <v>179</v>
      </c>
      <c r="D95" s="23">
        <f>3300+660</f>
        <v>3960</v>
      </c>
      <c r="E95" s="22"/>
      <c r="F95" s="22"/>
      <c r="G95" s="37">
        <f>-1951.93-1224-809.75</f>
        <v>-3985.6800000000003</v>
      </c>
      <c r="H95" s="24">
        <f t="shared" si="5"/>
        <v>-25.680000000000291</v>
      </c>
    </row>
    <row r="96" spans="1:8" ht="15.75" customHeight="1" x14ac:dyDescent="0.2">
      <c r="A96" s="22" t="s">
        <v>180</v>
      </c>
      <c r="B96" s="22" t="s">
        <v>140</v>
      </c>
      <c r="C96" s="22" t="s">
        <v>181</v>
      </c>
      <c r="D96" s="23">
        <v>3000</v>
      </c>
      <c r="E96" s="22"/>
      <c r="F96" s="22"/>
      <c r="G96" s="37">
        <f>-2600</f>
        <v>-2600</v>
      </c>
      <c r="H96" s="24">
        <f t="shared" si="5"/>
        <v>400</v>
      </c>
    </row>
    <row r="97" spans="1:8" ht="15.75" customHeight="1" x14ac:dyDescent="0.2">
      <c r="A97" s="22" t="s">
        <v>182</v>
      </c>
      <c r="B97" s="22" t="s">
        <v>140</v>
      </c>
      <c r="C97" s="22" t="s">
        <v>183</v>
      </c>
      <c r="D97" s="23">
        <v>1549</v>
      </c>
      <c r="E97" s="22"/>
      <c r="F97" s="22"/>
      <c r="G97" s="37">
        <v>0</v>
      </c>
      <c r="H97" s="24">
        <f t="shared" si="5"/>
        <v>1549</v>
      </c>
    </row>
    <row r="98" spans="1:8" ht="15.75" customHeight="1" x14ac:dyDescent="0.2">
      <c r="A98" s="22" t="s">
        <v>184</v>
      </c>
      <c r="B98" s="22" t="s">
        <v>140</v>
      </c>
      <c r="C98" s="22" t="s">
        <v>185</v>
      </c>
      <c r="D98" s="23">
        <v>6000</v>
      </c>
      <c r="E98" s="22"/>
      <c r="F98" s="22"/>
      <c r="G98" s="37">
        <f>-1991.14-1266.02-1266.02-1266.02-306.94</f>
        <v>-6096.14</v>
      </c>
      <c r="H98" s="24">
        <f t="shared" si="5"/>
        <v>-96.140000000000327</v>
      </c>
    </row>
    <row r="99" spans="1:8" ht="15.75" customHeight="1" x14ac:dyDescent="0.2">
      <c r="A99" s="22" t="s">
        <v>186</v>
      </c>
      <c r="B99" s="22" t="s">
        <v>140</v>
      </c>
      <c r="C99" s="22" t="s">
        <v>187</v>
      </c>
      <c r="D99" s="23">
        <f>7500+1500</f>
        <v>9000</v>
      </c>
      <c r="E99" s="22"/>
      <c r="F99" s="22"/>
      <c r="G99" s="37">
        <f>-4465-7.5-372.2-7.5-399.2-3631.64-3795+1900</f>
        <v>-10778.039999999999</v>
      </c>
      <c r="H99" s="24">
        <f t="shared" si="5"/>
        <v>-1778.0399999999991</v>
      </c>
    </row>
    <row r="100" spans="1:8" ht="15.75" customHeight="1" x14ac:dyDescent="0.2">
      <c r="A100" s="22" t="s">
        <v>188</v>
      </c>
      <c r="B100" s="22" t="s">
        <v>140</v>
      </c>
      <c r="C100" s="22" t="s">
        <v>189</v>
      </c>
      <c r="D100" s="23">
        <v>6300</v>
      </c>
      <c r="E100" s="22"/>
      <c r="F100" s="22"/>
      <c r="G100" s="37">
        <f>-2436.32-481.28-481.28-7.5-7.5-507.39-580.28-90-90-90-90-90</f>
        <v>-4951.55</v>
      </c>
      <c r="H100" s="24">
        <f t="shared" si="5"/>
        <v>1348.4499999999998</v>
      </c>
    </row>
    <row r="101" spans="1:8" ht="15.75" customHeight="1" x14ac:dyDescent="0.2">
      <c r="A101" s="35" t="s">
        <v>190</v>
      </c>
      <c r="B101" s="35" t="s">
        <v>140</v>
      </c>
      <c r="C101" s="35" t="s">
        <v>191</v>
      </c>
      <c r="D101" s="33">
        <v>6000</v>
      </c>
      <c r="E101" s="35"/>
      <c r="F101" s="35"/>
      <c r="G101" s="37">
        <v>0</v>
      </c>
      <c r="H101" s="24">
        <f t="shared" si="5"/>
        <v>6000</v>
      </c>
    </row>
    <row r="102" spans="1:8" ht="15.75" customHeight="1" x14ac:dyDescent="0.2">
      <c r="A102" s="30" t="s">
        <v>192</v>
      </c>
      <c r="B102" s="30" t="s">
        <v>140</v>
      </c>
      <c r="C102" s="30"/>
      <c r="D102" s="30"/>
      <c r="E102" s="31">
        <f>SUM(D103:D125)</f>
        <v>106804.2</v>
      </c>
      <c r="F102" s="30"/>
      <c r="G102" s="107">
        <f>SUM(G103:G125)</f>
        <v>-47320.42</v>
      </c>
      <c r="H102" s="32">
        <f t="shared" ref="H102" si="6">E102+G102</f>
        <v>59483.78</v>
      </c>
    </row>
    <row r="103" spans="1:8" ht="15.75" customHeight="1" x14ac:dyDescent="0.2">
      <c r="A103" s="22" t="s">
        <v>193</v>
      </c>
      <c r="B103" s="22" t="s">
        <v>140</v>
      </c>
      <c r="C103" s="22" t="s">
        <v>194</v>
      </c>
      <c r="D103" s="23">
        <f>2750+550</f>
        <v>3300</v>
      </c>
      <c r="E103" s="22"/>
      <c r="F103" s="22"/>
      <c r="G103" s="37">
        <f>-2500-450-30.64-18.64-25.86-6.92-6.41-6.4-14.26-182.64-107.52</f>
        <v>-3349.29</v>
      </c>
      <c r="H103" s="24">
        <f>D103+G103</f>
        <v>-49.289999999999964</v>
      </c>
    </row>
    <row r="104" spans="1:8" ht="15.75" customHeight="1" x14ac:dyDescent="0.2">
      <c r="A104" s="22" t="s">
        <v>195</v>
      </c>
      <c r="B104" s="22" t="s">
        <v>140</v>
      </c>
      <c r="C104" s="22" t="s">
        <v>196</v>
      </c>
      <c r="D104" s="23">
        <v>4100</v>
      </c>
      <c r="E104" s="22"/>
      <c r="F104" s="22"/>
      <c r="G104" s="37">
        <f>-1083.6-215.47-595</f>
        <v>-1894.07</v>
      </c>
      <c r="H104" s="24">
        <f>D104+G104</f>
        <v>2205.9300000000003</v>
      </c>
    </row>
    <row r="105" spans="1:8" ht="15.75" customHeight="1" x14ac:dyDescent="0.2">
      <c r="A105" s="22" t="s">
        <v>197</v>
      </c>
      <c r="B105" s="22" t="s">
        <v>140</v>
      </c>
      <c r="C105" s="22" t="s">
        <v>198</v>
      </c>
      <c r="D105" s="23">
        <v>3000</v>
      </c>
      <c r="E105" s="22"/>
      <c r="F105" s="22"/>
      <c r="G105" s="37">
        <f>-693.99-35.92-107.8-32.6-31.91-32.75-33.52-557.77-47.6-34.83-502.4-34.54-33.94-34.02-32.22-32.3-32.95-35</f>
        <v>-2346.0599999999995</v>
      </c>
      <c r="H105" s="24">
        <f>D105+G105</f>
        <v>653.94000000000051</v>
      </c>
    </row>
    <row r="106" spans="1:8" ht="15.75" customHeight="1" x14ac:dyDescent="0.2">
      <c r="A106" s="22" t="s">
        <v>199</v>
      </c>
      <c r="B106" s="22" t="s">
        <v>140</v>
      </c>
      <c r="C106" s="22" t="s">
        <v>200</v>
      </c>
      <c r="D106" s="23">
        <v>6000</v>
      </c>
      <c r="E106" s="22"/>
      <c r="F106" s="22"/>
      <c r="G106" s="37">
        <v>0</v>
      </c>
      <c r="H106" s="24">
        <f t="shared" ref="H106:H125" si="7">D106+G106</f>
        <v>6000</v>
      </c>
    </row>
    <row r="107" spans="1:8" ht="15.75" customHeight="1" x14ac:dyDescent="0.2">
      <c r="A107" s="22" t="s">
        <v>201</v>
      </c>
      <c r="B107" s="22" t="s">
        <v>140</v>
      </c>
      <c r="C107" s="22" t="s">
        <v>202</v>
      </c>
      <c r="D107" s="23">
        <v>1500</v>
      </c>
      <c r="E107" s="22"/>
      <c r="F107" s="22"/>
      <c r="G107" s="37">
        <f>-245.76-1470</f>
        <v>-1715.76</v>
      </c>
      <c r="H107" s="24">
        <f t="shared" si="7"/>
        <v>-215.76</v>
      </c>
    </row>
    <row r="108" spans="1:8" ht="15.75" customHeight="1" x14ac:dyDescent="0.2">
      <c r="A108" s="22" t="s">
        <v>203</v>
      </c>
      <c r="B108" s="22" t="s">
        <v>140</v>
      </c>
      <c r="C108" s="22" t="s">
        <v>204</v>
      </c>
      <c r="D108" s="23">
        <v>3500</v>
      </c>
      <c r="E108" s="22"/>
      <c r="F108" s="22"/>
      <c r="G108" s="37">
        <f>-2778.55-64.79-93.53-64.67</f>
        <v>-3001.5400000000004</v>
      </c>
      <c r="H108" s="24">
        <f t="shared" si="7"/>
        <v>498.45999999999958</v>
      </c>
    </row>
    <row r="109" spans="1:8" ht="15.75" customHeight="1" x14ac:dyDescent="0.2">
      <c r="A109" s="22" t="s">
        <v>205</v>
      </c>
      <c r="B109" s="22" t="s">
        <v>140</v>
      </c>
      <c r="C109" s="22" t="s">
        <v>206</v>
      </c>
      <c r="D109" s="23">
        <v>1850</v>
      </c>
      <c r="E109" s="22"/>
      <c r="F109" s="22"/>
      <c r="G109" s="37">
        <f>-1250-131.47</f>
        <v>-1381.47</v>
      </c>
      <c r="H109" s="24">
        <f t="shared" si="7"/>
        <v>468.53</v>
      </c>
    </row>
    <row r="110" spans="1:8" ht="15.75" customHeight="1" x14ac:dyDescent="0.2">
      <c r="A110" s="35" t="s">
        <v>207</v>
      </c>
      <c r="B110" s="22" t="s">
        <v>140</v>
      </c>
      <c r="C110" s="22" t="s">
        <v>99</v>
      </c>
      <c r="D110" s="23">
        <v>6000</v>
      </c>
      <c r="E110" s="22"/>
      <c r="F110" s="22"/>
      <c r="G110" s="37">
        <f>-253.74-767.72-177.12-100.98-100.44-660-108.96-297-150.66-169.56-322.54-361.86-239.26-85.57+660</f>
        <v>-3135.4100000000003</v>
      </c>
      <c r="H110" s="24">
        <f t="shared" si="7"/>
        <v>2864.5899999999997</v>
      </c>
    </row>
    <row r="111" spans="1:8" ht="15.75" customHeight="1" x14ac:dyDescent="0.2">
      <c r="A111" s="22" t="s">
        <v>208</v>
      </c>
      <c r="B111" s="22" t="s">
        <v>140</v>
      </c>
      <c r="C111" s="22" t="s">
        <v>209</v>
      </c>
      <c r="D111" s="23">
        <v>3000</v>
      </c>
      <c r="E111" s="22"/>
      <c r="F111" s="22"/>
      <c r="G111" s="37"/>
      <c r="H111" s="24">
        <f t="shared" si="7"/>
        <v>3000</v>
      </c>
    </row>
    <row r="112" spans="1:8" ht="15.75" customHeight="1" x14ac:dyDescent="0.2">
      <c r="A112" s="22" t="s">
        <v>210</v>
      </c>
      <c r="B112" s="22" t="s">
        <v>140</v>
      </c>
      <c r="C112" s="22" t="s">
        <v>211</v>
      </c>
      <c r="D112" s="23">
        <v>6000</v>
      </c>
      <c r="E112" s="22"/>
      <c r="F112" s="22"/>
      <c r="G112" s="37">
        <f>-253.91-2-95.88-100.05-100.05-100.05-100.05-200.63-107-50.29-200-1325-29.27</f>
        <v>-2664.18</v>
      </c>
      <c r="H112" s="24">
        <f t="shared" si="7"/>
        <v>3335.82</v>
      </c>
    </row>
    <row r="113" spans="1:9" ht="15.75" customHeight="1" x14ac:dyDescent="0.2">
      <c r="A113" s="22" t="s">
        <v>212</v>
      </c>
      <c r="B113" s="22" t="s">
        <v>140</v>
      </c>
      <c r="C113" s="22" t="s">
        <v>213</v>
      </c>
      <c r="D113" s="23">
        <v>4450</v>
      </c>
      <c r="E113" s="22"/>
      <c r="F113" s="22"/>
      <c r="G113" s="37">
        <f>-386.53-106.39-249.9-650-214.92-112.71-25.98-269.5</f>
        <v>-2015.93</v>
      </c>
      <c r="H113" s="24">
        <f t="shared" si="7"/>
        <v>2434.0699999999997</v>
      </c>
    </row>
    <row r="114" spans="1:9" ht="15.75" customHeight="1" x14ac:dyDescent="0.2">
      <c r="A114" s="35" t="s">
        <v>214</v>
      </c>
      <c r="B114" s="22" t="s">
        <v>140</v>
      </c>
      <c r="C114" s="22" t="s">
        <v>215</v>
      </c>
      <c r="D114" s="23">
        <f>7953+3181.2</f>
        <v>11134.2</v>
      </c>
      <c r="E114" s="22"/>
      <c r="F114" s="22"/>
      <c r="G114" s="37">
        <f>-91.44-48.06</f>
        <v>-139.5</v>
      </c>
      <c r="H114" s="24">
        <f t="shared" si="7"/>
        <v>10994.7</v>
      </c>
    </row>
    <row r="115" spans="1:9" ht="15.75" customHeight="1" x14ac:dyDescent="0.2">
      <c r="A115" s="22" t="s">
        <v>216</v>
      </c>
      <c r="B115" s="22" t="s">
        <v>140</v>
      </c>
      <c r="C115" s="22" t="s">
        <v>217</v>
      </c>
      <c r="D115" s="23">
        <v>1500</v>
      </c>
      <c r="E115" s="22"/>
      <c r="F115" s="22"/>
      <c r="G115" s="37">
        <f>-73.54</f>
        <v>-73.540000000000006</v>
      </c>
      <c r="H115" s="24">
        <f t="shared" si="7"/>
        <v>1426.46</v>
      </c>
    </row>
    <row r="116" spans="1:9" ht="15.75" customHeight="1" x14ac:dyDescent="0.2">
      <c r="A116" s="22" t="s">
        <v>218</v>
      </c>
      <c r="B116" s="22" t="s">
        <v>140</v>
      </c>
      <c r="C116" s="22" t="s">
        <v>219</v>
      </c>
      <c r="D116" s="23">
        <v>4000</v>
      </c>
      <c r="E116" s="22"/>
      <c r="F116" s="22"/>
      <c r="G116" s="37">
        <f>-454.38-11.81-360.18-106.91-997.4-71.85-77.13-42.94-188-42.72</f>
        <v>-2353.3199999999997</v>
      </c>
      <c r="H116" s="24">
        <f t="shared" si="7"/>
        <v>1646.6800000000003</v>
      </c>
    </row>
    <row r="117" spans="1:9" ht="15.75" customHeight="1" x14ac:dyDescent="0.2">
      <c r="A117" s="22" t="s">
        <v>220</v>
      </c>
      <c r="B117" s="22" t="s">
        <v>140</v>
      </c>
      <c r="C117" s="22" t="s">
        <v>221</v>
      </c>
      <c r="D117" s="23">
        <v>5500</v>
      </c>
      <c r="E117" s="22"/>
      <c r="F117" s="22"/>
      <c r="G117" s="37">
        <f>-89.1-58.21</f>
        <v>-147.31</v>
      </c>
      <c r="H117" s="24">
        <f t="shared" si="7"/>
        <v>5352.69</v>
      </c>
    </row>
    <row r="118" spans="1:9" ht="15.75" customHeight="1" x14ac:dyDescent="0.2">
      <c r="A118" s="22" t="s">
        <v>222</v>
      </c>
      <c r="B118" s="22" t="s">
        <v>140</v>
      </c>
      <c r="C118" s="22" t="s">
        <v>223</v>
      </c>
      <c r="D118" s="23">
        <v>1500</v>
      </c>
      <c r="E118" s="22"/>
      <c r="F118" s="22"/>
      <c r="G118" s="37">
        <f>-316.71</f>
        <v>-316.70999999999998</v>
      </c>
      <c r="H118" s="24">
        <f t="shared" si="7"/>
        <v>1183.29</v>
      </c>
    </row>
    <row r="119" spans="1:9" ht="15.75" customHeight="1" x14ac:dyDescent="0.2">
      <c r="A119" s="22" t="s">
        <v>224</v>
      </c>
      <c r="B119" s="22" t="s">
        <v>140</v>
      </c>
      <c r="C119" s="22" t="s">
        <v>225</v>
      </c>
      <c r="D119" s="23">
        <v>8500</v>
      </c>
      <c r="E119" s="22"/>
      <c r="F119" s="22"/>
      <c r="G119" s="37">
        <f>-2000-3000-21.58-2000-181.23-58.3-122.88-87.84</f>
        <v>-7471.83</v>
      </c>
      <c r="H119" s="24">
        <f t="shared" si="7"/>
        <v>1028.17</v>
      </c>
    </row>
    <row r="120" spans="1:9" ht="15.75" customHeight="1" x14ac:dyDescent="0.2">
      <c r="A120" s="22" t="s">
        <v>226</v>
      </c>
      <c r="B120" s="22" t="s">
        <v>140</v>
      </c>
      <c r="C120" s="22" t="s">
        <v>227</v>
      </c>
      <c r="D120" s="23">
        <v>5000</v>
      </c>
      <c r="E120" s="22"/>
      <c r="F120" s="22"/>
      <c r="G120" s="37">
        <v>0</v>
      </c>
      <c r="H120" s="24">
        <f t="shared" si="7"/>
        <v>5000</v>
      </c>
    </row>
    <row r="121" spans="1:9" ht="15.75" customHeight="1" x14ac:dyDescent="0.2">
      <c r="A121" s="22" t="s">
        <v>228</v>
      </c>
      <c r="B121" s="22" t="s">
        <v>140</v>
      </c>
      <c r="C121" s="22" t="s">
        <v>229</v>
      </c>
      <c r="D121" s="23">
        <v>2790</v>
      </c>
      <c r="E121" s="22"/>
      <c r="F121" s="22"/>
      <c r="G121" s="37">
        <f>-2123.55-1007.24</f>
        <v>-3130.79</v>
      </c>
      <c r="H121" s="24">
        <f t="shared" si="7"/>
        <v>-340.78999999999996</v>
      </c>
    </row>
    <row r="122" spans="1:9" ht="15.75" customHeight="1" x14ac:dyDescent="0.2">
      <c r="A122" s="22" t="s">
        <v>230</v>
      </c>
      <c r="B122" s="22" t="s">
        <v>140</v>
      </c>
      <c r="C122" s="22" t="s">
        <v>231</v>
      </c>
      <c r="D122" s="23">
        <v>6680</v>
      </c>
      <c r="E122" s="22"/>
      <c r="F122" s="22"/>
      <c r="G122" s="37">
        <f>-122.88-618.4-225.21-26.96-800</f>
        <v>-1793.45</v>
      </c>
      <c r="H122" s="24">
        <f t="shared" si="7"/>
        <v>4886.55</v>
      </c>
    </row>
    <row r="123" spans="1:9" ht="15.75" customHeight="1" x14ac:dyDescent="0.2">
      <c r="A123" s="22" t="s">
        <v>232</v>
      </c>
      <c r="B123" s="22" t="s">
        <v>140</v>
      </c>
      <c r="C123" s="22" t="s">
        <v>233</v>
      </c>
      <c r="D123" s="23">
        <f>3500</f>
        <v>3500</v>
      </c>
      <c r="E123" s="22"/>
      <c r="F123" s="22"/>
      <c r="G123" s="37">
        <v>0</v>
      </c>
      <c r="H123" s="24">
        <f t="shared" si="7"/>
        <v>3500</v>
      </c>
    </row>
    <row r="124" spans="1:9" ht="15.75" customHeight="1" x14ac:dyDescent="0.2">
      <c r="A124" s="22" t="s">
        <v>234</v>
      </c>
      <c r="B124" s="22" t="s">
        <v>140</v>
      </c>
      <c r="C124" s="22" t="s">
        <v>235</v>
      </c>
      <c r="D124" s="23">
        <v>7000</v>
      </c>
      <c r="E124" s="22"/>
      <c r="F124" s="22"/>
      <c r="G124" s="37">
        <f>-73.06-42.96-13.9-905.13-190.27-97.93-239.8-239.8-645.6-295.63-511.33-346.88-118.61-78.46-12-156.53-1000</f>
        <v>-4967.8900000000003</v>
      </c>
      <c r="H124" s="24">
        <f t="shared" si="7"/>
        <v>2032.1099999999997</v>
      </c>
    </row>
    <row r="125" spans="1:9" ht="15.75" customHeight="1" x14ac:dyDescent="0.2">
      <c r="A125" s="35" t="s">
        <v>236</v>
      </c>
      <c r="B125" s="22" t="s">
        <v>140</v>
      </c>
      <c r="C125" s="22" t="s">
        <v>237</v>
      </c>
      <c r="D125" s="23">
        <v>7000</v>
      </c>
      <c r="E125" s="22"/>
      <c r="F125" s="22"/>
      <c r="G125" s="37">
        <f>-522.81-16.34-38.55-429.75-5.25-379.5-1325-900-1320.3-484.87</f>
        <v>-5422.37</v>
      </c>
      <c r="H125" s="24">
        <f t="shared" si="7"/>
        <v>1577.63</v>
      </c>
    </row>
    <row r="126" spans="1:9" ht="15.75" customHeight="1" x14ac:dyDescent="0.2">
      <c r="A126" s="25" t="s">
        <v>239</v>
      </c>
      <c r="B126" s="25" t="s">
        <v>240</v>
      </c>
      <c r="C126" s="25"/>
      <c r="D126" s="25"/>
      <c r="E126" s="25"/>
      <c r="F126" s="26">
        <f>E127</f>
        <v>35467</v>
      </c>
      <c r="G126" s="108">
        <f>G127</f>
        <v>0</v>
      </c>
      <c r="H126" s="34">
        <f>F126+G126</f>
        <v>35467</v>
      </c>
      <c r="I126" s="7">
        <f>F126/E7</f>
        <v>4.5859614007049541E-2</v>
      </c>
    </row>
    <row r="127" spans="1:9" ht="15.75" customHeight="1" x14ac:dyDescent="0.2">
      <c r="A127" s="22" t="s">
        <v>241</v>
      </c>
      <c r="B127" s="22" t="s">
        <v>240</v>
      </c>
      <c r="C127" s="22" t="s">
        <v>242</v>
      </c>
      <c r="D127" s="22"/>
      <c r="E127" s="23">
        <v>35467</v>
      </c>
      <c r="F127" s="22"/>
      <c r="G127" s="37">
        <v>0</v>
      </c>
      <c r="H127" s="24">
        <f t="shared" ref="H127" si="8">E127+G127</f>
        <v>35467</v>
      </c>
    </row>
    <row r="128" spans="1:9" ht="15.75" customHeight="1" x14ac:dyDescent="0.2">
      <c r="A128" s="25" t="s">
        <v>25</v>
      </c>
      <c r="B128" s="25" t="s">
        <v>243</v>
      </c>
      <c r="C128" s="25"/>
      <c r="D128" s="25"/>
      <c r="E128" s="25"/>
      <c r="F128" s="26">
        <f>SUM(D129:D131)</f>
        <v>239545</v>
      </c>
      <c r="G128" s="108">
        <f>G129+G130+G131+G132</f>
        <v>-107054.30999999997</v>
      </c>
      <c r="H128" s="34">
        <f>F128+G128</f>
        <v>132490.69000000003</v>
      </c>
      <c r="I128" s="7">
        <f>F128/E7</f>
        <v>0.30973697344908457</v>
      </c>
    </row>
    <row r="129" spans="1:9" ht="15.75" customHeight="1" x14ac:dyDescent="0.2">
      <c r="A129" s="22" t="s">
        <v>244</v>
      </c>
      <c r="B129" s="22" t="s">
        <v>243</v>
      </c>
      <c r="C129" s="22" t="s">
        <v>245</v>
      </c>
      <c r="D129" s="23">
        <v>500</v>
      </c>
      <c r="E129" s="22"/>
      <c r="F129" s="22"/>
      <c r="G129" s="37">
        <v>0</v>
      </c>
      <c r="H129" s="24">
        <f t="shared" ref="H129:H132" si="9">D129+G129</f>
        <v>500</v>
      </c>
    </row>
    <row r="130" spans="1:9" ht="15.75" customHeight="1" x14ac:dyDescent="0.2">
      <c r="A130" s="22" t="s">
        <v>246</v>
      </c>
      <c r="B130" s="22" t="s">
        <v>243</v>
      </c>
      <c r="C130" s="22" t="s">
        <v>247</v>
      </c>
      <c r="D130" s="23">
        <f>30000+5467</f>
        <v>35467</v>
      </c>
      <c r="E130" s="22"/>
      <c r="F130" s="22"/>
      <c r="G130" s="37">
        <v>0</v>
      </c>
      <c r="H130" s="24">
        <f t="shared" si="9"/>
        <v>35467</v>
      </c>
    </row>
    <row r="131" spans="1:9" ht="15.75" customHeight="1" x14ac:dyDescent="0.2">
      <c r="A131" s="35" t="s">
        <v>355</v>
      </c>
      <c r="B131" s="35" t="s">
        <v>243</v>
      </c>
      <c r="C131" s="35" t="s">
        <v>248</v>
      </c>
      <c r="D131" s="33">
        <f>39500+62578+7800+55000+35000+1400+2300</f>
        <v>203578</v>
      </c>
      <c r="E131" s="35"/>
      <c r="F131" s="35"/>
      <c r="G131" s="37">
        <f>'Senate Bills'!G42</f>
        <v>-107054.30999999997</v>
      </c>
      <c r="H131" s="24">
        <f t="shared" si="9"/>
        <v>96523.690000000031</v>
      </c>
    </row>
    <row r="132" spans="1:9" ht="15.75" customHeight="1" x14ac:dyDescent="0.2">
      <c r="A132" s="49" t="s">
        <v>249</v>
      </c>
      <c r="B132" s="49"/>
      <c r="C132" s="49"/>
      <c r="D132" s="50">
        <f>B140-800-660-1465-1500-7751.25-1000-4000+4000-4000-14000-3000-4000-55000-600-550-10000-3181.2-35000-2300-1400-21114.26-900</f>
        <v>500.00000000002547</v>
      </c>
      <c r="E132" s="22"/>
      <c r="F132" s="22"/>
      <c r="G132" s="37">
        <v>0</v>
      </c>
      <c r="H132" s="24">
        <f t="shared" si="9"/>
        <v>500.00000000002547</v>
      </c>
    </row>
    <row r="133" spans="1:9" ht="15.75" customHeight="1" x14ac:dyDescent="0.2">
      <c r="A133" s="46" t="s">
        <v>250</v>
      </c>
      <c r="B133" s="46"/>
      <c r="C133" s="46"/>
      <c r="D133" s="46"/>
      <c r="E133" s="46"/>
      <c r="F133" s="34">
        <f>F9+F59+F62+F76+F126+F128</f>
        <v>946236.81</v>
      </c>
      <c r="G133" s="108">
        <f>G10+G11+G13+G14+G17+G22+G32+G34+G42+G45+G47+G54+G57+G60+G61+G63+G64+G65+G68+G77+G102+G128</f>
        <v>-448541.90999999992</v>
      </c>
      <c r="H133" s="34">
        <f>F133+G133</f>
        <v>497694.90000000014</v>
      </c>
      <c r="I133" s="7">
        <f>I9+I59+I62+I76+I126+I128</f>
        <v>1.2235050854558287</v>
      </c>
    </row>
    <row r="134" spans="1:9" ht="15.75" customHeight="1" x14ac:dyDescent="0.2">
      <c r="A134" s="47" t="s">
        <v>251</v>
      </c>
      <c r="B134" s="47"/>
      <c r="C134" s="47"/>
      <c r="D134" s="47"/>
      <c r="E134" s="47"/>
      <c r="F134" s="48">
        <f>F133+D132</f>
        <v>946736.81</v>
      </c>
      <c r="G134" s="109"/>
      <c r="H134" s="47"/>
    </row>
    <row r="136" spans="1:9" ht="15.75" customHeight="1" x14ac:dyDescent="0.25">
      <c r="A136" s="4" t="s">
        <v>252</v>
      </c>
      <c r="B136" s="3"/>
      <c r="C136" s="45"/>
    </row>
    <row r="137" spans="1:9" ht="15.75" customHeight="1" x14ac:dyDescent="0.2">
      <c r="A137" s="36" t="s">
        <v>253</v>
      </c>
      <c r="B137" s="44">
        <v>348500.83</v>
      </c>
    </row>
    <row r="138" spans="1:9" ht="15.75" customHeight="1" x14ac:dyDescent="0.2">
      <c r="A138" s="36" t="s">
        <v>254</v>
      </c>
      <c r="B138" s="44">
        <f>100000+E127</f>
        <v>135467</v>
      </c>
    </row>
    <row r="139" spans="1:9" ht="15.75" customHeight="1" x14ac:dyDescent="0.2">
      <c r="A139" s="36" t="s">
        <v>255</v>
      </c>
      <c r="B139" s="44">
        <f>-65.22-1062.84-1461.38-74.21-74.21-3457.35-210-1500-360-800-460-367.11-26.64-25.82-254.46-122.12-279.49-44.1-90.16-84.96-255.21-161.28-255.44-449.35-136.93-150.49-134.36-537.49-20.94-22.98-7.78-47.18-22.78-69.6-73-243.21-328.49-92.16-192.67-577.7-700-660-201.09-40-360-140-540-550-430-340-120-510-130-340-351.57-237.04-257.68-150-300.05-32.74-114.84-64.17-168.85-1237.6-118.17-1195.36-235.45-15.08-64.67-61.15-662.67-207.45-12050-273.97-914.11-212.31-148.39-215.98-70.53-232.79-0.06-0.44-519-1000-1000-161.28+16.54+101.88-283-308.5-308.5-355.51-89.35-113.31-359.25-129.33-340-152.71-57.48</f>
        <v>-44312.12</v>
      </c>
    </row>
    <row r="140" spans="1:9" ht="15.75" customHeight="1" x14ac:dyDescent="0.2">
      <c r="A140" s="36" t="s">
        <v>256</v>
      </c>
      <c r="B140" s="44">
        <f>B137-B138+B139</f>
        <v>168721.71000000002</v>
      </c>
    </row>
    <row r="141" spans="1:9" ht="15.75" customHeight="1" x14ac:dyDescent="0.2">
      <c r="A141" s="36" t="s">
        <v>257</v>
      </c>
      <c r="B141" s="44">
        <f>25846+16000+166958+17525+414946-4974</f>
        <v>636301</v>
      </c>
    </row>
    <row r="142" spans="1:9" ht="15.75" customHeight="1" x14ac:dyDescent="0.2">
      <c r="A142" s="36" t="s">
        <v>258</v>
      </c>
      <c r="B142" s="44">
        <f>G133</f>
        <v>-448541.90999999992</v>
      </c>
    </row>
    <row r="143" spans="1:9" ht="15.75" customHeight="1" x14ac:dyDescent="0.2">
      <c r="A143" s="36" t="s">
        <v>259</v>
      </c>
      <c r="B143" s="44">
        <v>-36238.6</v>
      </c>
    </row>
    <row r="144" spans="1:9" ht="15.75" customHeight="1" x14ac:dyDescent="0.2">
      <c r="A144" s="36" t="s">
        <v>260</v>
      </c>
      <c r="B144" s="44">
        <f>B137+B139+B141+B142+B143</f>
        <v>455709.20000000007</v>
      </c>
    </row>
    <row r="145" spans="1:2" ht="15.75" customHeight="1" x14ac:dyDescent="0.2">
      <c r="A145" s="36"/>
      <c r="B145" s="36"/>
    </row>
  </sheetData>
  <mergeCells count="1">
    <mergeCell ref="A1:G2"/>
  </mergeCells>
  <phoneticPr fontId="4" type="noConversion"/>
  <pageMargins left="0.75" right="0.75" top="1" bottom="1" header="0.5" footer="0.5"/>
  <pageSetup scale="45" fitToHeight="2" orientation="portrait" horizontalDpi="4294967292" verticalDpi="4294967292"/>
  <rowBreaks count="1" manualBreakCount="1">
    <brk id="75" max="16383" man="1"/>
  </rowBreaks>
  <colBreaks count="1" manualBreakCount="1">
    <brk id="9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50" zoomScaleNormal="150" zoomScalePageLayoutView="150" workbookViewId="0">
      <selection activeCell="F9" sqref="F9"/>
    </sheetView>
  </sheetViews>
  <sheetFormatPr defaultColWidth="11.42578125" defaultRowHeight="12.75" x14ac:dyDescent="0.2"/>
  <cols>
    <col min="1" max="1" width="11" customWidth="1"/>
    <col min="2" max="2" width="12.42578125" customWidth="1"/>
    <col min="3" max="3" width="27" customWidth="1"/>
    <col min="4" max="4" width="25.140625" bestFit="1" customWidth="1"/>
    <col min="5" max="5" width="16.28515625" style="2" customWidth="1"/>
    <col min="6" max="6" width="12.85546875" style="102" customWidth="1"/>
  </cols>
  <sheetData>
    <row r="1" spans="1:7" x14ac:dyDescent="0.2">
      <c r="A1" t="s">
        <v>261</v>
      </c>
      <c r="B1" t="s">
        <v>262</v>
      </c>
      <c r="C1" t="s">
        <v>263</v>
      </c>
      <c r="D1" t="s">
        <v>264</v>
      </c>
      <c r="E1" s="2" t="s">
        <v>265</v>
      </c>
      <c r="F1" s="102" t="s">
        <v>11</v>
      </c>
      <c r="G1" t="s">
        <v>12</v>
      </c>
    </row>
    <row r="2" spans="1:7" x14ac:dyDescent="0.2">
      <c r="A2" s="1">
        <v>42577</v>
      </c>
      <c r="B2" s="1">
        <v>42633</v>
      </c>
      <c r="C2" t="s">
        <v>266</v>
      </c>
      <c r="D2" t="s">
        <v>267</v>
      </c>
      <c r="E2" s="2">
        <v>1500</v>
      </c>
      <c r="F2" s="102">
        <f>-7.5-556.45-720.3-40-56</f>
        <v>-1380.25</v>
      </c>
    </row>
    <row r="3" spans="1:7" x14ac:dyDescent="0.2">
      <c r="A3" s="1">
        <v>42577</v>
      </c>
      <c r="B3" s="1">
        <v>42643</v>
      </c>
      <c r="C3" t="s">
        <v>268</v>
      </c>
      <c r="D3" t="s">
        <v>269</v>
      </c>
      <c r="E3" s="2">
        <v>500</v>
      </c>
      <c r="F3" s="102">
        <f>-398.26-104.83-222.86</f>
        <v>-725.95</v>
      </c>
    </row>
    <row r="4" spans="1:7" x14ac:dyDescent="0.2">
      <c r="A4" s="1">
        <v>42577</v>
      </c>
      <c r="B4" s="1">
        <v>42636</v>
      </c>
      <c r="C4" t="s">
        <v>270</v>
      </c>
      <c r="D4" t="s">
        <v>269</v>
      </c>
      <c r="E4" s="2">
        <v>150</v>
      </c>
      <c r="F4" s="102">
        <f>-64.68-110.65-26.51</f>
        <v>-201.84</v>
      </c>
    </row>
    <row r="5" spans="1:7" x14ac:dyDescent="0.2">
      <c r="A5" s="1">
        <v>42577</v>
      </c>
      <c r="B5" s="1">
        <v>42662</v>
      </c>
      <c r="C5" t="s">
        <v>271</v>
      </c>
      <c r="D5" t="s">
        <v>269</v>
      </c>
      <c r="E5" s="2">
        <v>150</v>
      </c>
    </row>
    <row r="6" spans="1:7" x14ac:dyDescent="0.2">
      <c r="A6" s="1">
        <v>42577</v>
      </c>
      <c r="B6" s="1">
        <v>42669</v>
      </c>
      <c r="C6" t="s">
        <v>272</v>
      </c>
      <c r="D6" t="s">
        <v>269</v>
      </c>
      <c r="E6" s="2">
        <v>150</v>
      </c>
      <c r="F6" s="102">
        <f>-21.45-4.41-85.01</f>
        <v>-110.87</v>
      </c>
    </row>
    <row r="7" spans="1:7" x14ac:dyDescent="0.2">
      <c r="A7" s="1">
        <v>42577</v>
      </c>
      <c r="B7" t="s">
        <v>273</v>
      </c>
      <c r="C7" t="s">
        <v>274</v>
      </c>
      <c r="D7" t="s">
        <v>275</v>
      </c>
      <c r="E7" s="2">
        <v>1001.53</v>
      </c>
      <c r="F7" s="102">
        <f>-181.5-15.67-129-36.83-153.78+131.62-372.49-165.2-35.44-47.53</f>
        <v>-1005.8199999999999</v>
      </c>
    </row>
    <row r="8" spans="1:7" x14ac:dyDescent="0.2">
      <c r="A8" s="1">
        <v>42590</v>
      </c>
      <c r="B8" s="1">
        <v>42615</v>
      </c>
      <c r="C8" t="s">
        <v>276</v>
      </c>
      <c r="D8" t="s">
        <v>277</v>
      </c>
      <c r="E8" s="2">
        <v>1606</v>
      </c>
      <c r="F8" s="102">
        <f>-93.84-4.85-47.64-26.59-106.01-98.63-800-208.28-219.14-219.77</f>
        <v>-1824.75</v>
      </c>
    </row>
    <row r="9" spans="1:7" x14ac:dyDescent="0.2">
      <c r="A9" s="1">
        <v>42590</v>
      </c>
      <c r="B9" s="1">
        <v>42608</v>
      </c>
      <c r="C9" t="s">
        <v>278</v>
      </c>
      <c r="D9" t="s">
        <v>279</v>
      </c>
      <c r="E9" s="2">
        <v>93</v>
      </c>
    </row>
    <row r="10" spans="1:7" x14ac:dyDescent="0.2">
      <c r="A10" s="1">
        <v>42591</v>
      </c>
      <c r="B10" s="1">
        <v>42606</v>
      </c>
      <c r="C10" t="s">
        <v>280</v>
      </c>
      <c r="D10" t="s">
        <v>277</v>
      </c>
      <c r="E10" s="2">
        <v>352</v>
      </c>
      <c r="F10" s="102">
        <f>-120.33</f>
        <v>-120.33</v>
      </c>
    </row>
    <row r="11" spans="1:7" x14ac:dyDescent="0.2">
      <c r="A11" s="1"/>
      <c r="B11" s="1">
        <v>42613</v>
      </c>
      <c r="C11" t="s">
        <v>281</v>
      </c>
      <c r="D11" t="s">
        <v>282</v>
      </c>
      <c r="E11" s="2">
        <v>143</v>
      </c>
      <c r="F11" s="102">
        <v>-135.34</v>
      </c>
    </row>
    <row r="12" spans="1:7" x14ac:dyDescent="0.2">
      <c r="A12" s="1">
        <v>42591</v>
      </c>
      <c r="B12" s="1">
        <v>42616</v>
      </c>
      <c r="C12" t="s">
        <v>283</v>
      </c>
      <c r="D12" t="s">
        <v>284</v>
      </c>
      <c r="E12" s="2">
        <v>243.66</v>
      </c>
      <c r="F12" s="102">
        <f>-85.15-149.49</f>
        <v>-234.64000000000001</v>
      </c>
    </row>
    <row r="13" spans="1:7" x14ac:dyDescent="0.2">
      <c r="A13" s="1">
        <v>42591</v>
      </c>
      <c r="B13" s="1">
        <v>42608</v>
      </c>
      <c r="C13" t="s">
        <v>285</v>
      </c>
      <c r="D13" t="s">
        <v>286</v>
      </c>
      <c r="E13" s="2">
        <v>148.53</v>
      </c>
      <c r="F13" s="102">
        <v>-135.52000000000001</v>
      </c>
    </row>
    <row r="14" spans="1:7" x14ac:dyDescent="0.2">
      <c r="A14" s="1">
        <v>42591</v>
      </c>
      <c r="B14" s="1">
        <v>42615</v>
      </c>
      <c r="C14" t="s">
        <v>287</v>
      </c>
      <c r="D14" t="s">
        <v>288</v>
      </c>
      <c r="E14" s="2">
        <v>168</v>
      </c>
      <c r="F14" s="102">
        <f>-162</f>
        <v>-162</v>
      </c>
    </row>
    <row r="15" spans="1:7" x14ac:dyDescent="0.2">
      <c r="A15" s="1">
        <v>42612</v>
      </c>
      <c r="B15" s="1">
        <v>42622</v>
      </c>
      <c r="C15" t="s">
        <v>289</v>
      </c>
      <c r="D15" t="s">
        <v>290</v>
      </c>
      <c r="E15" s="2">
        <v>110</v>
      </c>
      <c r="F15" s="102">
        <f>-111.98</f>
        <v>-111.98</v>
      </c>
    </row>
    <row r="16" spans="1:7" x14ac:dyDescent="0.2">
      <c r="A16" s="1">
        <v>42613</v>
      </c>
      <c r="B16" s="1">
        <v>42649</v>
      </c>
      <c r="C16" t="s">
        <v>291</v>
      </c>
      <c r="D16" t="s">
        <v>292</v>
      </c>
      <c r="E16" s="2">
        <v>350</v>
      </c>
    </row>
    <row r="17" spans="1:6" x14ac:dyDescent="0.2">
      <c r="A17" s="1">
        <v>42613</v>
      </c>
      <c r="B17" s="1">
        <v>42614</v>
      </c>
      <c r="C17" t="s">
        <v>293</v>
      </c>
      <c r="D17" t="s">
        <v>294</v>
      </c>
      <c r="E17" s="2">
        <v>300</v>
      </c>
      <c r="F17" s="102">
        <f>-209.18</f>
        <v>-209.18</v>
      </c>
    </row>
    <row r="18" spans="1:6" x14ac:dyDescent="0.2">
      <c r="A18" s="1">
        <v>42619</v>
      </c>
      <c r="B18" s="1">
        <v>42630</v>
      </c>
      <c r="C18" t="s">
        <v>295</v>
      </c>
      <c r="D18" t="s">
        <v>296</v>
      </c>
      <c r="E18" s="2">
        <v>125</v>
      </c>
      <c r="F18" s="102">
        <f>-119.34</f>
        <v>-119.34</v>
      </c>
    </row>
    <row r="19" spans="1:6" x14ac:dyDescent="0.2">
      <c r="A19" s="1">
        <v>42619</v>
      </c>
      <c r="B19" s="1">
        <v>42633</v>
      </c>
      <c r="C19" t="s">
        <v>297</v>
      </c>
      <c r="D19" t="s">
        <v>298</v>
      </c>
      <c r="E19" s="2">
        <v>78</v>
      </c>
      <c r="F19" s="102">
        <f>-78.25</f>
        <v>-78.25</v>
      </c>
    </row>
    <row r="20" spans="1:6" x14ac:dyDescent="0.2">
      <c r="A20" s="1">
        <v>42619</v>
      </c>
      <c r="B20" s="1">
        <v>42621</v>
      </c>
      <c r="C20" t="s">
        <v>299</v>
      </c>
      <c r="D20" t="s">
        <v>300</v>
      </c>
      <c r="E20" s="2">
        <v>350</v>
      </c>
      <c r="F20" s="102">
        <f>-351.29</f>
        <v>-351.29</v>
      </c>
    </row>
    <row r="21" spans="1:6" x14ac:dyDescent="0.2">
      <c r="A21" s="1">
        <v>42625</v>
      </c>
      <c r="B21" s="1">
        <v>42637</v>
      </c>
      <c r="C21" t="s">
        <v>301</v>
      </c>
      <c r="D21" t="s">
        <v>302</v>
      </c>
      <c r="E21" s="2">
        <v>495</v>
      </c>
      <c r="F21" s="102">
        <f>-465.87-15.09-41.74-13.76</f>
        <v>-536.45999999999992</v>
      </c>
    </row>
    <row r="22" spans="1:6" x14ac:dyDescent="0.2">
      <c r="A22" s="1"/>
      <c r="B22" s="1"/>
      <c r="D22" t="s">
        <v>388</v>
      </c>
      <c r="E22" s="2">
        <v>200</v>
      </c>
      <c r="F22" s="102">
        <f>-174.73-26.59</f>
        <v>-201.32</v>
      </c>
    </row>
    <row r="23" spans="1:6" x14ac:dyDescent="0.2">
      <c r="A23" s="1"/>
      <c r="B23" s="1"/>
    </row>
    <row r="24" spans="1:6" x14ac:dyDescent="0.2">
      <c r="A24" s="1"/>
      <c r="B24" s="1"/>
    </row>
    <row r="25" spans="1:6" x14ac:dyDescent="0.2">
      <c r="D25" t="s">
        <v>303</v>
      </c>
      <c r="E25" s="2">
        <f>SUM(E2:E24)</f>
        <v>8213.7199999999993</v>
      </c>
      <c r="F25" s="2">
        <f>SUM(F2:F24)</f>
        <v>-7645.13</v>
      </c>
    </row>
    <row r="26" spans="1:6" x14ac:dyDescent="0.2">
      <c r="D26" t="s">
        <v>304</v>
      </c>
      <c r="E26" s="2">
        <f>7325+1465</f>
        <v>8790</v>
      </c>
    </row>
    <row r="27" spans="1:6" x14ac:dyDescent="0.2">
      <c r="D27" t="s">
        <v>12</v>
      </c>
      <c r="E27" s="2">
        <f>E26-E25</f>
        <v>576.28000000000065</v>
      </c>
    </row>
  </sheetData>
  <phoneticPr fontId="4" type="noConversion"/>
  <pageMargins left="0.75" right="0.75" top="1" bottom="1" header="0.5" footer="0.5"/>
  <pageSetup scale="85" orientation="portrait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topLeftCell="A14" workbookViewId="0">
      <selection activeCell="G35" sqref="G35"/>
    </sheetView>
  </sheetViews>
  <sheetFormatPr defaultColWidth="11.42578125" defaultRowHeight="12.75" x14ac:dyDescent="0.2"/>
  <cols>
    <col min="1" max="1" width="4.42578125" bestFit="1" customWidth="1"/>
    <col min="2" max="2" width="12.42578125" bestFit="1" customWidth="1"/>
    <col min="3" max="3" width="52" bestFit="1" customWidth="1"/>
    <col min="4" max="4" width="22.28515625" bestFit="1" customWidth="1"/>
    <col min="5" max="5" width="45.7109375" bestFit="1" customWidth="1"/>
    <col min="6" max="6" width="18.7109375" bestFit="1" customWidth="1"/>
    <col min="7" max="7" width="19.7109375" bestFit="1" customWidth="1"/>
    <col min="8" max="8" width="19.7109375" customWidth="1"/>
  </cols>
  <sheetData>
    <row r="1" spans="1:8" x14ac:dyDescent="0.2">
      <c r="A1" s="122" t="s">
        <v>149</v>
      </c>
      <c r="B1" s="123"/>
      <c r="C1" s="123"/>
      <c r="D1" s="123"/>
      <c r="E1" s="123"/>
      <c r="F1" s="123"/>
      <c r="G1" s="123"/>
      <c r="H1" s="124"/>
    </row>
    <row r="2" spans="1:8" x14ac:dyDescent="0.2">
      <c r="A2" s="125"/>
      <c r="B2" s="126"/>
      <c r="C2" s="126"/>
      <c r="D2" s="126"/>
      <c r="E2" s="126"/>
      <c r="F2" s="126"/>
      <c r="G2" s="126"/>
      <c r="H2" s="127"/>
    </row>
    <row r="3" spans="1:8" x14ac:dyDescent="0.2">
      <c r="A3" s="51" t="s">
        <v>149</v>
      </c>
      <c r="B3" s="52" t="s">
        <v>261</v>
      </c>
      <c r="C3" s="51" t="s">
        <v>305</v>
      </c>
      <c r="D3" s="51" t="s">
        <v>306</v>
      </c>
      <c r="E3" s="51" t="s">
        <v>307</v>
      </c>
      <c r="F3" s="53" t="s">
        <v>308</v>
      </c>
      <c r="G3" s="53" t="s">
        <v>309</v>
      </c>
      <c r="H3" s="54" t="s">
        <v>310</v>
      </c>
    </row>
    <row r="4" spans="1:8" ht="18" x14ac:dyDescent="0.25">
      <c r="A4" s="55">
        <v>1</v>
      </c>
      <c r="B4" s="56">
        <v>42623</v>
      </c>
      <c r="C4" s="57" t="s">
        <v>311</v>
      </c>
      <c r="D4" s="58">
        <v>42728</v>
      </c>
      <c r="E4" s="57" t="s">
        <v>312</v>
      </c>
      <c r="F4" s="59">
        <v>9720</v>
      </c>
      <c r="G4" s="59">
        <f>-9720</f>
        <v>-9720</v>
      </c>
      <c r="H4" s="60">
        <f>F4+G4</f>
        <v>0</v>
      </c>
    </row>
    <row r="5" spans="1:8" ht="18" x14ac:dyDescent="0.25">
      <c r="A5" s="61">
        <v>2</v>
      </c>
      <c r="B5" s="62">
        <v>42623</v>
      </c>
      <c r="C5" s="57" t="s">
        <v>313</v>
      </c>
      <c r="D5" s="64" t="s">
        <v>314</v>
      </c>
      <c r="E5" s="63" t="s">
        <v>315</v>
      </c>
      <c r="F5" s="65">
        <v>4608</v>
      </c>
      <c r="G5" s="65">
        <f>-1988.76-100-560-140-15-18.99+10-11.02-29-18.99-118.51-124.14-917.52-917.52-917.52-124.14-118.51-110.43+124.14+696.08</f>
        <v>-5399.83</v>
      </c>
      <c r="H5" s="60">
        <f t="shared" ref="H5:H40" si="0">F5+G5</f>
        <v>-791.82999999999993</v>
      </c>
    </row>
    <row r="6" spans="1:8" ht="18" x14ac:dyDescent="0.25">
      <c r="A6" s="61">
        <v>3</v>
      </c>
      <c r="B6" s="62">
        <v>42629</v>
      </c>
      <c r="C6" s="63" t="s">
        <v>316</v>
      </c>
      <c r="D6" s="66">
        <v>42678</v>
      </c>
      <c r="E6" s="63" t="s">
        <v>317</v>
      </c>
      <c r="F6" s="65">
        <v>3344.38</v>
      </c>
      <c r="G6" s="65">
        <f>-2860</f>
        <v>-2860</v>
      </c>
      <c r="H6" s="60">
        <f t="shared" si="0"/>
        <v>484.38000000000011</v>
      </c>
    </row>
    <row r="7" spans="1:8" ht="18" x14ac:dyDescent="0.25">
      <c r="A7" s="61">
        <v>4</v>
      </c>
      <c r="B7" s="62">
        <v>42629</v>
      </c>
      <c r="C7" s="63" t="s">
        <v>318</v>
      </c>
      <c r="D7" s="66">
        <v>42660</v>
      </c>
      <c r="E7" s="63" t="s">
        <v>319</v>
      </c>
      <c r="F7" s="65">
        <v>669</v>
      </c>
      <c r="G7" s="65"/>
      <c r="H7" s="60">
        <f t="shared" si="0"/>
        <v>669</v>
      </c>
    </row>
    <row r="8" spans="1:8" ht="18" x14ac:dyDescent="0.25">
      <c r="A8" s="61">
        <v>5</v>
      </c>
      <c r="B8" s="62">
        <v>42635</v>
      </c>
      <c r="C8" s="63" t="s">
        <v>320</v>
      </c>
      <c r="D8" s="66" t="s">
        <v>321</v>
      </c>
      <c r="E8" s="63" t="s">
        <v>372</v>
      </c>
      <c r="F8" s="110">
        <v>4984.16</v>
      </c>
      <c r="G8" s="65">
        <f>-2900.99-62-1498-300.24-293.76</f>
        <v>-5054.99</v>
      </c>
      <c r="H8" s="60">
        <f t="shared" si="0"/>
        <v>-70.829999999999927</v>
      </c>
    </row>
    <row r="9" spans="1:8" ht="18" x14ac:dyDescent="0.25">
      <c r="A9" s="61">
        <v>7</v>
      </c>
      <c r="B9" s="62">
        <v>42635</v>
      </c>
      <c r="C9" s="63" t="s">
        <v>322</v>
      </c>
      <c r="D9" s="67" t="s">
        <v>321</v>
      </c>
      <c r="E9" s="63" t="s">
        <v>323</v>
      </c>
      <c r="F9" s="65">
        <v>5212.3100000000004</v>
      </c>
      <c r="G9" s="65">
        <f>-580-3184-1500.94</f>
        <v>-5264.9400000000005</v>
      </c>
      <c r="H9" s="60">
        <f t="shared" si="0"/>
        <v>-52.630000000000109</v>
      </c>
    </row>
    <row r="10" spans="1:8" ht="18" x14ac:dyDescent="0.25">
      <c r="A10" s="61">
        <v>6</v>
      </c>
      <c r="B10" s="62">
        <v>42642</v>
      </c>
      <c r="C10" s="63" t="s">
        <v>324</v>
      </c>
      <c r="D10" s="63" t="s">
        <v>325</v>
      </c>
      <c r="E10" s="63" t="s">
        <v>326</v>
      </c>
      <c r="F10" s="65">
        <v>10000</v>
      </c>
      <c r="G10" s="65">
        <f>-9640</f>
        <v>-9640</v>
      </c>
      <c r="H10" s="60">
        <f t="shared" si="0"/>
        <v>360</v>
      </c>
    </row>
    <row r="11" spans="1:8" ht="18" x14ac:dyDescent="0.25">
      <c r="A11" s="61">
        <v>8</v>
      </c>
      <c r="B11" s="62">
        <v>42649</v>
      </c>
      <c r="C11" s="63" t="s">
        <v>356</v>
      </c>
      <c r="D11" s="66" t="s">
        <v>357</v>
      </c>
      <c r="E11" s="63" t="s">
        <v>358</v>
      </c>
      <c r="F11" s="65">
        <v>8682.84</v>
      </c>
      <c r="G11" s="65">
        <f>-1897.99-1301.89</f>
        <v>-3199.88</v>
      </c>
      <c r="H11" s="60">
        <f t="shared" si="0"/>
        <v>5482.96</v>
      </c>
    </row>
    <row r="12" spans="1:8" ht="18" x14ac:dyDescent="0.25">
      <c r="A12" s="61">
        <v>9</v>
      </c>
      <c r="B12" s="62">
        <v>42656</v>
      </c>
      <c r="C12" s="63" t="s">
        <v>361</v>
      </c>
      <c r="D12" s="66" t="s">
        <v>362</v>
      </c>
      <c r="E12" s="63" t="s">
        <v>238</v>
      </c>
      <c r="F12" s="65">
        <v>7800</v>
      </c>
      <c r="G12" s="65">
        <f>-6790</f>
        <v>-6790</v>
      </c>
      <c r="H12" s="60">
        <f t="shared" si="0"/>
        <v>1010</v>
      </c>
    </row>
    <row r="13" spans="1:8" ht="18" x14ac:dyDescent="0.25">
      <c r="A13" s="61">
        <v>10</v>
      </c>
      <c r="B13" s="62">
        <v>42649</v>
      </c>
      <c r="C13" s="63" t="s">
        <v>359</v>
      </c>
      <c r="D13" s="66" t="s">
        <v>360</v>
      </c>
      <c r="E13" s="63" t="s">
        <v>158</v>
      </c>
      <c r="F13" s="65">
        <v>4000</v>
      </c>
      <c r="G13" s="65">
        <f>-5577+429+429+7.26</f>
        <v>-4711.74</v>
      </c>
      <c r="H13" s="60">
        <f t="shared" si="0"/>
        <v>-711.73999999999978</v>
      </c>
    </row>
    <row r="14" spans="1:8" ht="18" x14ac:dyDescent="0.25">
      <c r="A14" s="61">
        <v>11</v>
      </c>
      <c r="B14" s="62">
        <v>42656</v>
      </c>
      <c r="C14" s="63" t="s">
        <v>363</v>
      </c>
      <c r="D14" s="66" t="s">
        <v>364</v>
      </c>
      <c r="E14" s="63" t="s">
        <v>238</v>
      </c>
      <c r="F14" s="65">
        <v>4366.76</v>
      </c>
      <c r="G14" s="65">
        <f>-2325</f>
        <v>-2325</v>
      </c>
      <c r="H14" s="60">
        <f t="shared" si="0"/>
        <v>2041.7600000000002</v>
      </c>
    </row>
    <row r="15" spans="1:8" ht="18" x14ac:dyDescent="0.25">
      <c r="A15" s="61">
        <v>12</v>
      </c>
      <c r="B15" s="62">
        <v>42656</v>
      </c>
      <c r="C15" s="63" t="s">
        <v>382</v>
      </c>
      <c r="D15" s="66" t="s">
        <v>383</v>
      </c>
      <c r="E15" s="63" t="s">
        <v>358</v>
      </c>
      <c r="F15" s="65">
        <v>5305.35</v>
      </c>
      <c r="G15" s="65">
        <f>-19.27-95.75-51.9-31.83-76.96-39.36-64.8-87.32-87.73-191.82</f>
        <v>-746.74</v>
      </c>
      <c r="H15" s="60">
        <f t="shared" si="0"/>
        <v>4558.6100000000006</v>
      </c>
    </row>
    <row r="16" spans="1:8" ht="18" x14ac:dyDescent="0.25">
      <c r="A16" s="61">
        <v>13</v>
      </c>
      <c r="B16" s="62">
        <v>42662</v>
      </c>
      <c r="C16" s="63" t="s">
        <v>373</v>
      </c>
      <c r="D16" s="67" t="s">
        <v>364</v>
      </c>
      <c r="E16" s="63" t="s">
        <v>372</v>
      </c>
      <c r="F16" s="65">
        <v>3623.18</v>
      </c>
      <c r="G16" s="65">
        <f>-307.8-339.66-1824.96-845-339.68</f>
        <v>-3657.1</v>
      </c>
      <c r="H16" s="60">
        <f t="shared" si="0"/>
        <v>-33.920000000000073</v>
      </c>
    </row>
    <row r="17" spans="1:8" ht="18" x14ac:dyDescent="0.25">
      <c r="A17" s="61">
        <v>14</v>
      </c>
      <c r="B17" s="62">
        <v>42662</v>
      </c>
      <c r="C17" s="68" t="s">
        <v>374</v>
      </c>
      <c r="D17" s="112" t="s">
        <v>375</v>
      </c>
      <c r="E17" s="68" t="s">
        <v>334</v>
      </c>
      <c r="F17" s="65">
        <v>3179.52</v>
      </c>
      <c r="G17" s="65">
        <f>-7.5-227.96-860-20-170.79-301.2-16.13-1631.67</f>
        <v>-3235.25</v>
      </c>
      <c r="H17" s="60">
        <f t="shared" si="0"/>
        <v>-55.730000000000018</v>
      </c>
    </row>
    <row r="18" spans="1:8" ht="18" x14ac:dyDescent="0.25">
      <c r="A18" s="61">
        <v>15</v>
      </c>
      <c r="B18" s="62">
        <v>42662</v>
      </c>
      <c r="C18" s="63" t="s">
        <v>376</v>
      </c>
      <c r="D18" s="66">
        <v>42686</v>
      </c>
      <c r="E18" s="63" t="s">
        <v>377</v>
      </c>
      <c r="F18" s="65">
        <v>8278.2999999999993</v>
      </c>
      <c r="G18" s="65">
        <f>-1158.3-6405</f>
        <v>-7563.3</v>
      </c>
      <c r="H18" s="60">
        <f t="shared" si="0"/>
        <v>714.99999999999909</v>
      </c>
    </row>
    <row r="19" spans="1:8" ht="18" x14ac:dyDescent="0.25">
      <c r="A19" s="61">
        <v>16</v>
      </c>
      <c r="B19" s="62">
        <v>42670</v>
      </c>
      <c r="C19" s="63" t="s">
        <v>386</v>
      </c>
      <c r="D19" s="66" t="s">
        <v>387</v>
      </c>
      <c r="E19" s="63" t="s">
        <v>172</v>
      </c>
      <c r="F19" s="65">
        <v>6202.5</v>
      </c>
      <c r="G19" s="65">
        <f>-6202.5</f>
        <v>-6202.5</v>
      </c>
      <c r="H19" s="60">
        <f t="shared" si="0"/>
        <v>0</v>
      </c>
    </row>
    <row r="20" spans="1:8" ht="18" x14ac:dyDescent="0.25">
      <c r="A20" s="61">
        <v>18</v>
      </c>
      <c r="B20" s="62">
        <v>42684</v>
      </c>
      <c r="C20" s="63" t="s">
        <v>404</v>
      </c>
      <c r="D20" s="66" t="s">
        <v>405</v>
      </c>
      <c r="E20" s="63" t="s">
        <v>403</v>
      </c>
      <c r="F20" s="65">
        <v>1382.66</v>
      </c>
      <c r="G20" s="65">
        <f>-184.8-908.86-122.99</f>
        <v>-1216.6500000000001</v>
      </c>
      <c r="H20" s="60">
        <f t="shared" si="0"/>
        <v>166.01</v>
      </c>
    </row>
    <row r="21" spans="1:8" ht="18" x14ac:dyDescent="0.25">
      <c r="A21" s="61">
        <v>24</v>
      </c>
      <c r="B21" s="62">
        <v>42682</v>
      </c>
      <c r="C21" s="63" t="s">
        <v>413</v>
      </c>
      <c r="D21" s="66" t="s">
        <v>414</v>
      </c>
      <c r="E21" s="63" t="s">
        <v>323</v>
      </c>
      <c r="F21" s="65">
        <v>5587.4</v>
      </c>
      <c r="G21" s="65">
        <f>-3162.67-10-270.9-32-315.18</f>
        <v>-3790.75</v>
      </c>
      <c r="H21" s="60">
        <f t="shared" si="0"/>
        <v>1796.6499999999996</v>
      </c>
    </row>
    <row r="22" spans="1:8" ht="18" x14ac:dyDescent="0.25">
      <c r="A22" s="61">
        <v>25</v>
      </c>
      <c r="B22" s="62">
        <v>42384</v>
      </c>
      <c r="C22" s="63" t="s">
        <v>422</v>
      </c>
      <c r="D22" s="66" t="s">
        <v>423</v>
      </c>
      <c r="E22" s="63" t="s">
        <v>319</v>
      </c>
      <c r="F22" s="65">
        <v>19859.2</v>
      </c>
      <c r="G22" s="65">
        <f>-27.19</f>
        <v>-27.19</v>
      </c>
      <c r="H22" s="60">
        <f t="shared" si="0"/>
        <v>19832.010000000002</v>
      </c>
    </row>
    <row r="23" spans="1:8" ht="18" x14ac:dyDescent="0.25">
      <c r="A23" s="61">
        <v>26</v>
      </c>
      <c r="B23" s="62">
        <v>42689</v>
      </c>
      <c r="C23" s="63" t="s">
        <v>421</v>
      </c>
      <c r="D23" s="66" t="s">
        <v>420</v>
      </c>
      <c r="E23" s="63" t="s">
        <v>218</v>
      </c>
      <c r="F23" s="65">
        <v>2157.98</v>
      </c>
      <c r="G23" s="65">
        <f>-405-32-42-32-410.35-264.29-42-32-42-32-25-32-42-42-384.67-32</f>
        <v>-1891.3100000000002</v>
      </c>
      <c r="H23" s="60">
        <f t="shared" si="0"/>
        <v>266.66999999999985</v>
      </c>
    </row>
    <row r="24" spans="1:8" ht="18" x14ac:dyDescent="0.25">
      <c r="A24" s="61">
        <v>29</v>
      </c>
      <c r="B24" s="62">
        <v>42689</v>
      </c>
      <c r="C24" s="63" t="s">
        <v>417</v>
      </c>
      <c r="D24" s="66" t="s">
        <v>418</v>
      </c>
      <c r="E24" s="63" t="s">
        <v>419</v>
      </c>
      <c r="F24" s="65">
        <v>4200</v>
      </c>
      <c r="G24" s="65">
        <f>-600-80-300-2000-100-200</f>
        <v>-3280</v>
      </c>
      <c r="H24" s="60">
        <f t="shared" si="0"/>
        <v>920</v>
      </c>
    </row>
    <row r="25" spans="1:8" ht="18" x14ac:dyDescent="0.25">
      <c r="A25" s="61">
        <v>31</v>
      </c>
      <c r="B25" s="62">
        <v>42689</v>
      </c>
      <c r="C25" s="63" t="s">
        <v>416</v>
      </c>
      <c r="D25" s="66" t="s">
        <v>415</v>
      </c>
      <c r="E25" s="63" t="s">
        <v>372</v>
      </c>
      <c r="F25" s="65">
        <v>3204.23</v>
      </c>
      <c r="G25" s="65">
        <f>-1205.02-136.43-136.43-548.93</f>
        <v>-2026.81</v>
      </c>
      <c r="H25" s="60">
        <f t="shared" si="0"/>
        <v>1177.42</v>
      </c>
    </row>
    <row r="26" spans="1:8" ht="18" x14ac:dyDescent="0.25">
      <c r="A26" s="61">
        <v>33</v>
      </c>
      <c r="B26" s="62">
        <v>42760</v>
      </c>
      <c r="C26" s="63" t="s">
        <v>513</v>
      </c>
      <c r="D26" s="66" t="s">
        <v>455</v>
      </c>
      <c r="E26" s="63" t="s">
        <v>456</v>
      </c>
      <c r="F26" s="65">
        <v>5750</v>
      </c>
      <c r="G26" s="65">
        <f>-3778.04</f>
        <v>-3778.04</v>
      </c>
      <c r="H26" s="60">
        <f t="shared" si="0"/>
        <v>1971.96</v>
      </c>
    </row>
    <row r="27" spans="1:8" ht="18" x14ac:dyDescent="0.25">
      <c r="A27" s="61">
        <v>34</v>
      </c>
      <c r="B27" s="62">
        <v>42760</v>
      </c>
      <c r="C27" s="63" t="s">
        <v>424</v>
      </c>
      <c r="D27" s="69" t="s">
        <v>425</v>
      </c>
      <c r="E27" s="63" t="s">
        <v>426</v>
      </c>
      <c r="F27" s="65">
        <v>6294.69</v>
      </c>
      <c r="G27" s="65">
        <v>0</v>
      </c>
      <c r="H27" s="60">
        <f t="shared" si="0"/>
        <v>6294.69</v>
      </c>
    </row>
    <row r="28" spans="1:8" ht="18" x14ac:dyDescent="0.25">
      <c r="A28" s="61">
        <v>35</v>
      </c>
      <c r="B28" s="62">
        <v>42760</v>
      </c>
      <c r="C28" s="63" t="s">
        <v>427</v>
      </c>
      <c r="D28" s="66" t="s">
        <v>428</v>
      </c>
      <c r="E28" s="63" t="s">
        <v>429</v>
      </c>
      <c r="F28" s="65">
        <v>8814.0499999999993</v>
      </c>
      <c r="G28" s="65"/>
      <c r="H28" s="60">
        <f t="shared" si="0"/>
        <v>8814.0499999999993</v>
      </c>
    </row>
    <row r="29" spans="1:8" ht="18" x14ac:dyDescent="0.25">
      <c r="A29" s="61">
        <v>36</v>
      </c>
      <c r="B29" s="62">
        <v>42768</v>
      </c>
      <c r="C29" s="63" t="s">
        <v>442</v>
      </c>
      <c r="D29" s="66" t="s">
        <v>443</v>
      </c>
      <c r="E29" s="63" t="s">
        <v>317</v>
      </c>
      <c r="F29" s="65">
        <v>4671.84</v>
      </c>
      <c r="G29" s="65">
        <f>-2850-1214.56</f>
        <v>-4064.56</v>
      </c>
      <c r="H29" s="60">
        <f t="shared" si="0"/>
        <v>607.2800000000002</v>
      </c>
    </row>
    <row r="30" spans="1:8" ht="18" x14ac:dyDescent="0.25">
      <c r="A30" s="61">
        <v>37</v>
      </c>
      <c r="B30" s="62">
        <v>42768</v>
      </c>
      <c r="C30" s="63" t="s">
        <v>444</v>
      </c>
      <c r="D30" s="66" t="s">
        <v>418</v>
      </c>
      <c r="E30" s="63" t="s">
        <v>445</v>
      </c>
      <c r="F30" s="65">
        <v>2700</v>
      </c>
      <c r="G30" s="65"/>
      <c r="H30" s="60">
        <f t="shared" si="0"/>
        <v>2700</v>
      </c>
    </row>
    <row r="31" spans="1:8" ht="18" x14ac:dyDescent="0.25">
      <c r="A31" s="61">
        <v>38</v>
      </c>
      <c r="B31" s="62">
        <v>42774</v>
      </c>
      <c r="C31" s="63" t="s">
        <v>446</v>
      </c>
      <c r="D31" s="66">
        <v>42798</v>
      </c>
      <c r="E31" s="63" t="s">
        <v>447</v>
      </c>
      <c r="F31" s="65">
        <f>7560+680.4</f>
        <v>8240.4</v>
      </c>
      <c r="G31" s="65">
        <f>-4275-33.75-3222.5-276.48</f>
        <v>-7807.73</v>
      </c>
      <c r="H31" s="60">
        <f t="shared" si="0"/>
        <v>432.67000000000007</v>
      </c>
    </row>
    <row r="32" spans="1:8" ht="18" x14ac:dyDescent="0.25">
      <c r="A32" s="61">
        <v>39</v>
      </c>
      <c r="B32" s="62">
        <v>42781</v>
      </c>
      <c r="C32" s="63" t="s">
        <v>457</v>
      </c>
      <c r="D32" s="66">
        <v>42812</v>
      </c>
      <c r="E32" s="63" t="s">
        <v>366</v>
      </c>
      <c r="F32" s="65">
        <v>5390</v>
      </c>
      <c r="G32" s="65"/>
      <c r="H32" s="60">
        <f t="shared" si="0"/>
        <v>5390</v>
      </c>
    </row>
    <row r="33" spans="1:8" ht="18" x14ac:dyDescent="0.25">
      <c r="A33" s="61">
        <v>40</v>
      </c>
      <c r="B33" s="62">
        <v>42781</v>
      </c>
      <c r="C33" s="63" t="s">
        <v>461</v>
      </c>
      <c r="D33" s="66" t="s">
        <v>462</v>
      </c>
      <c r="E33" s="63" t="s">
        <v>323</v>
      </c>
      <c r="F33" s="65">
        <v>5000</v>
      </c>
      <c r="G33" s="65"/>
      <c r="H33" s="60">
        <f t="shared" si="0"/>
        <v>5000</v>
      </c>
    </row>
    <row r="34" spans="1:8" ht="18" x14ac:dyDescent="0.25">
      <c r="A34" s="61">
        <v>41</v>
      </c>
      <c r="B34" s="62">
        <v>42781</v>
      </c>
      <c r="C34" s="63" t="s">
        <v>460</v>
      </c>
      <c r="D34" s="66" t="s">
        <v>458</v>
      </c>
      <c r="E34" s="63" t="s">
        <v>459</v>
      </c>
      <c r="F34" s="65">
        <f>11500+2300</f>
        <v>13800</v>
      </c>
      <c r="G34" s="65">
        <f>-2800</f>
        <v>-2800</v>
      </c>
      <c r="H34" s="60">
        <f t="shared" si="0"/>
        <v>11000</v>
      </c>
    </row>
    <row r="35" spans="1:8" ht="18" x14ac:dyDescent="0.25">
      <c r="A35" s="61">
        <v>42</v>
      </c>
      <c r="B35" s="62">
        <v>42788</v>
      </c>
      <c r="C35" s="63" t="s">
        <v>469</v>
      </c>
      <c r="D35" s="66" t="s">
        <v>470</v>
      </c>
      <c r="E35" s="63" t="s">
        <v>471</v>
      </c>
      <c r="F35" s="65">
        <f>7000+1400</f>
        <v>8400</v>
      </c>
      <c r="G35" s="65"/>
      <c r="H35" s="60">
        <f t="shared" si="0"/>
        <v>8400</v>
      </c>
    </row>
    <row r="36" spans="1:8" ht="18" x14ac:dyDescent="0.25">
      <c r="A36" s="61">
        <v>43</v>
      </c>
      <c r="B36" s="62">
        <v>42795</v>
      </c>
      <c r="C36" s="63" t="s">
        <v>480</v>
      </c>
      <c r="D36" s="66" t="s">
        <v>481</v>
      </c>
      <c r="E36" s="63" t="s">
        <v>334</v>
      </c>
      <c r="F36" s="65">
        <v>4526.3999999999996</v>
      </c>
      <c r="G36" s="65"/>
      <c r="H36" s="60">
        <f t="shared" si="0"/>
        <v>4526.3999999999996</v>
      </c>
    </row>
    <row r="37" spans="1:8" ht="18" x14ac:dyDescent="0.25">
      <c r="A37" s="61">
        <v>44</v>
      </c>
      <c r="B37" s="62">
        <v>42795</v>
      </c>
      <c r="C37" s="63" t="s">
        <v>482</v>
      </c>
      <c r="D37" s="66" t="s">
        <v>483</v>
      </c>
      <c r="E37" s="63" t="s">
        <v>372</v>
      </c>
      <c r="F37" s="65">
        <v>2291</v>
      </c>
      <c r="G37" s="65"/>
      <c r="H37" s="60">
        <f t="shared" si="0"/>
        <v>2291</v>
      </c>
    </row>
    <row r="38" spans="1:8" ht="18" x14ac:dyDescent="0.25">
      <c r="A38" s="61"/>
      <c r="B38" s="62"/>
      <c r="C38" s="63"/>
      <c r="D38" s="69"/>
      <c r="E38" s="63"/>
      <c r="F38" s="65">
        <v>0</v>
      </c>
      <c r="G38" s="65"/>
      <c r="H38" s="60">
        <f t="shared" si="0"/>
        <v>0</v>
      </c>
    </row>
    <row r="39" spans="1:8" ht="18" x14ac:dyDescent="0.25">
      <c r="A39" s="61"/>
      <c r="B39" s="62"/>
      <c r="C39" s="63"/>
      <c r="D39" s="66"/>
      <c r="E39" s="63"/>
      <c r="F39" s="65">
        <v>0</v>
      </c>
      <c r="G39" s="65"/>
      <c r="H39" s="60">
        <f t="shared" si="0"/>
        <v>0</v>
      </c>
    </row>
    <row r="40" spans="1:8" ht="18" x14ac:dyDescent="0.25">
      <c r="A40" s="61"/>
      <c r="B40" s="62"/>
      <c r="C40" s="63"/>
      <c r="D40" s="66"/>
      <c r="E40" s="63"/>
      <c r="F40" s="65">
        <v>0</v>
      </c>
      <c r="G40" s="65"/>
      <c r="H40" s="60">
        <f t="shared" si="0"/>
        <v>0</v>
      </c>
    </row>
    <row r="41" spans="1:8" ht="18" x14ac:dyDescent="0.25">
      <c r="A41" s="61"/>
      <c r="B41" s="62"/>
      <c r="C41" s="63"/>
      <c r="D41" s="66"/>
      <c r="E41" s="63"/>
      <c r="F41" s="65">
        <f>SUM(F4:F40)</f>
        <v>202246.14999999997</v>
      </c>
      <c r="G41" s="65"/>
      <c r="H41" s="65">
        <f>SUM(H4:H40)</f>
        <v>95191.839999999982</v>
      </c>
    </row>
    <row r="42" spans="1:8" ht="18" x14ac:dyDescent="0.25">
      <c r="A42" s="111"/>
      <c r="B42" s="111"/>
      <c r="C42" s="111"/>
      <c r="D42" s="111"/>
      <c r="E42" s="111"/>
      <c r="F42" s="70">
        <f>Budget!D131</f>
        <v>203578</v>
      </c>
      <c r="G42" s="71">
        <f>SUM(G4:G41)</f>
        <v>-107054.30999999997</v>
      </c>
      <c r="H42" s="111"/>
    </row>
    <row r="43" spans="1:8" ht="18" x14ac:dyDescent="0.25">
      <c r="A43" s="111"/>
      <c r="B43" s="111"/>
      <c r="C43" s="111"/>
      <c r="D43" s="111"/>
      <c r="E43" s="111"/>
      <c r="F43" s="72">
        <f>F42-F41-1331.85</f>
        <v>3.5015546018257737E-11</v>
      </c>
      <c r="G43" s="111"/>
      <c r="H43" s="111"/>
    </row>
    <row r="44" spans="1:8" x14ac:dyDescent="0.2">
      <c r="A44" s="111"/>
      <c r="B44" s="111"/>
      <c r="C44" s="111"/>
      <c r="D44" s="111"/>
      <c r="E44" s="111"/>
      <c r="F44" s="111"/>
      <c r="G44" s="111"/>
      <c r="H44" s="111"/>
    </row>
    <row r="45" spans="1:8" x14ac:dyDescent="0.2">
      <c r="A45" s="111"/>
      <c r="B45" s="111"/>
      <c r="C45" s="111"/>
      <c r="D45" s="111"/>
      <c r="E45" s="111"/>
      <c r="F45" s="111"/>
      <c r="G45" s="111"/>
      <c r="H45" s="111"/>
    </row>
    <row r="46" spans="1:8" x14ac:dyDescent="0.2">
      <c r="A46" s="111"/>
      <c r="B46" s="111"/>
      <c r="C46" s="111"/>
      <c r="D46" s="111"/>
      <c r="E46" s="111"/>
      <c r="F46" s="111"/>
      <c r="G46" s="111"/>
      <c r="H46" s="111"/>
    </row>
    <row r="47" spans="1:8" x14ac:dyDescent="0.2">
      <c r="A47" s="111"/>
      <c r="B47" s="111"/>
      <c r="C47" s="111"/>
      <c r="D47" s="111"/>
      <c r="E47" s="111"/>
      <c r="F47" s="111"/>
      <c r="G47" s="111"/>
      <c r="H47" s="111"/>
    </row>
    <row r="48" spans="1:8" x14ac:dyDescent="0.2">
      <c r="A48" s="111"/>
      <c r="B48" s="111"/>
      <c r="C48" s="111"/>
      <c r="D48" s="111"/>
      <c r="E48" s="111"/>
      <c r="F48" s="111"/>
      <c r="G48" s="111"/>
      <c r="H48" s="111"/>
    </row>
    <row r="49" spans="1:8" x14ac:dyDescent="0.2">
      <c r="A49" s="111"/>
      <c r="B49" s="111"/>
      <c r="C49" s="111"/>
      <c r="D49" s="111"/>
      <c r="E49" s="111"/>
      <c r="F49" s="111"/>
      <c r="G49" s="111"/>
      <c r="H49" s="111"/>
    </row>
    <row r="50" spans="1:8" x14ac:dyDescent="0.2">
      <c r="A50" s="111"/>
      <c r="B50" s="111"/>
      <c r="C50" s="111"/>
      <c r="D50" s="111"/>
      <c r="E50" s="111"/>
      <c r="F50" s="111"/>
      <c r="G50" s="111"/>
      <c r="H50" s="111"/>
    </row>
  </sheetData>
  <mergeCells count="1">
    <mergeCell ref="A1:H2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56" workbookViewId="0">
      <selection activeCell="G38" sqref="G38"/>
    </sheetView>
  </sheetViews>
  <sheetFormatPr defaultColWidth="11.42578125" defaultRowHeight="12.75" x14ac:dyDescent="0.2"/>
  <cols>
    <col min="1" max="1" width="6" bestFit="1" customWidth="1"/>
    <col min="2" max="2" width="17.140625" customWidth="1"/>
    <col min="3" max="3" width="69.28515625" customWidth="1"/>
    <col min="4" max="4" width="15.140625" bestFit="1" customWidth="1"/>
    <col min="5" max="5" width="57.140625" customWidth="1"/>
    <col min="6" max="6" width="18.7109375" bestFit="1" customWidth="1"/>
    <col min="7" max="7" width="19" customWidth="1"/>
    <col min="8" max="8" width="17.140625" bestFit="1" customWidth="1"/>
  </cols>
  <sheetData>
    <row r="1" spans="1:8" x14ac:dyDescent="0.2">
      <c r="A1" s="122" t="s">
        <v>149</v>
      </c>
      <c r="B1" s="123"/>
      <c r="C1" s="123"/>
      <c r="D1" s="123"/>
      <c r="E1" s="123"/>
      <c r="F1" s="123"/>
      <c r="G1" s="123"/>
      <c r="H1" s="124"/>
    </row>
    <row r="2" spans="1:8" x14ac:dyDescent="0.2">
      <c r="A2" s="125"/>
      <c r="B2" s="126"/>
      <c r="C2" s="126"/>
      <c r="D2" s="126"/>
      <c r="E2" s="126"/>
      <c r="F2" s="126"/>
      <c r="G2" s="126"/>
      <c r="H2" s="127"/>
    </row>
    <row r="3" spans="1:8" x14ac:dyDescent="0.2">
      <c r="A3" s="73" t="s">
        <v>149</v>
      </c>
      <c r="B3" s="74" t="s">
        <v>261</v>
      </c>
      <c r="C3" s="75" t="s">
        <v>305</v>
      </c>
      <c r="D3" s="76" t="s">
        <v>262</v>
      </c>
      <c r="E3" s="75" t="s">
        <v>307</v>
      </c>
      <c r="F3" s="77" t="s">
        <v>308</v>
      </c>
      <c r="G3" s="77" t="s">
        <v>309</v>
      </c>
      <c r="H3" s="78" t="s">
        <v>310</v>
      </c>
    </row>
    <row r="4" spans="1:8" ht="18" x14ac:dyDescent="0.25">
      <c r="A4" s="61">
        <v>1</v>
      </c>
      <c r="B4" s="62">
        <v>42646</v>
      </c>
      <c r="C4" s="63" t="s">
        <v>327</v>
      </c>
      <c r="D4" s="79">
        <v>42677</v>
      </c>
      <c r="E4" s="63" t="s">
        <v>328</v>
      </c>
      <c r="F4" s="65">
        <v>1440</v>
      </c>
      <c r="G4" s="80">
        <f>-100-1395.84</f>
        <v>-1495.84</v>
      </c>
      <c r="H4" s="60">
        <f t="shared" ref="H4:H55" si="0">F4+G4</f>
        <v>-55.839999999999918</v>
      </c>
    </row>
    <row r="5" spans="1:8" ht="18" x14ac:dyDescent="0.25">
      <c r="A5" s="55">
        <v>2</v>
      </c>
      <c r="B5" s="62">
        <v>42646</v>
      </c>
      <c r="C5" s="57" t="s">
        <v>329</v>
      </c>
      <c r="D5" s="81">
        <v>42663</v>
      </c>
      <c r="E5" s="57" t="s">
        <v>330</v>
      </c>
      <c r="F5" s="59">
        <v>141.16999999999999</v>
      </c>
      <c r="G5" s="82">
        <f>-12.93-128.24</f>
        <v>-141.17000000000002</v>
      </c>
      <c r="H5" s="60">
        <f t="shared" si="0"/>
        <v>0</v>
      </c>
    </row>
    <row r="6" spans="1:8" ht="18" x14ac:dyDescent="0.25">
      <c r="A6" s="61">
        <v>5</v>
      </c>
      <c r="B6" s="62">
        <v>42646</v>
      </c>
      <c r="C6" s="63" t="s">
        <v>331</v>
      </c>
      <c r="D6" s="83">
        <v>42668</v>
      </c>
      <c r="E6" s="63" t="s">
        <v>332</v>
      </c>
      <c r="F6" s="65">
        <v>374.61</v>
      </c>
      <c r="G6" s="80">
        <f>-346.93</f>
        <v>-346.93</v>
      </c>
      <c r="H6" s="60">
        <f t="shared" si="0"/>
        <v>27.680000000000007</v>
      </c>
    </row>
    <row r="7" spans="1:8" ht="18" x14ac:dyDescent="0.25">
      <c r="A7" s="61">
        <v>6</v>
      </c>
      <c r="B7" s="62">
        <v>42646</v>
      </c>
      <c r="C7" s="63" t="s">
        <v>333</v>
      </c>
      <c r="D7" s="79">
        <v>11259</v>
      </c>
      <c r="E7" s="63" t="s">
        <v>334</v>
      </c>
      <c r="F7" s="65">
        <v>998.56</v>
      </c>
      <c r="G7" s="80">
        <f>-220-306.26-242.46</f>
        <v>-768.72</v>
      </c>
      <c r="H7" s="60">
        <f t="shared" si="0"/>
        <v>229.83999999999992</v>
      </c>
    </row>
    <row r="8" spans="1:8" ht="18" x14ac:dyDescent="0.25">
      <c r="A8" s="61">
        <v>8</v>
      </c>
      <c r="B8" s="62">
        <v>42646</v>
      </c>
      <c r="C8" s="63" t="s">
        <v>335</v>
      </c>
      <c r="D8" s="79">
        <v>42664</v>
      </c>
      <c r="E8" s="63" t="s">
        <v>336</v>
      </c>
      <c r="F8" s="65">
        <v>1425</v>
      </c>
      <c r="G8" s="80">
        <f>-1425</f>
        <v>-1425</v>
      </c>
      <c r="H8" s="60">
        <f t="shared" si="0"/>
        <v>0</v>
      </c>
    </row>
    <row r="9" spans="1:8" ht="18" x14ac:dyDescent="0.25">
      <c r="A9" s="61">
        <v>9</v>
      </c>
      <c r="B9" s="62">
        <v>42646</v>
      </c>
      <c r="C9" s="63" t="s">
        <v>389</v>
      </c>
      <c r="D9" s="79">
        <v>42692</v>
      </c>
      <c r="E9" s="63" t="s">
        <v>390</v>
      </c>
      <c r="F9" s="65">
        <v>2000</v>
      </c>
      <c r="G9" s="80">
        <f>-590.93-350-1050</f>
        <v>-1990.9299999999998</v>
      </c>
      <c r="H9" s="60">
        <f t="shared" si="0"/>
        <v>9.0700000000001637</v>
      </c>
    </row>
    <row r="10" spans="1:8" ht="18" x14ac:dyDescent="0.25">
      <c r="A10" s="61">
        <v>10</v>
      </c>
      <c r="B10" s="62">
        <v>42646</v>
      </c>
      <c r="C10" s="63" t="s">
        <v>337</v>
      </c>
      <c r="D10" s="79">
        <v>42669</v>
      </c>
      <c r="E10" s="63" t="s">
        <v>338</v>
      </c>
      <c r="F10" s="65">
        <v>823.9</v>
      </c>
      <c r="G10" s="80">
        <f>-805.13-63.68-7.51</f>
        <v>-876.31999999999994</v>
      </c>
      <c r="H10" s="60">
        <f t="shared" si="0"/>
        <v>-52.419999999999959</v>
      </c>
    </row>
    <row r="11" spans="1:8" ht="18" x14ac:dyDescent="0.25">
      <c r="A11" s="61">
        <v>11</v>
      </c>
      <c r="B11" s="62">
        <v>42646</v>
      </c>
      <c r="C11" s="63" t="s">
        <v>339</v>
      </c>
      <c r="D11" s="79">
        <v>42677</v>
      </c>
      <c r="E11" s="63" t="s">
        <v>340</v>
      </c>
      <c r="F11" s="65">
        <v>2000</v>
      </c>
      <c r="G11" s="80">
        <f>-679.67-325-395.78-136.92-357.4-136.29</f>
        <v>-2031.06</v>
      </c>
      <c r="H11" s="60">
        <f t="shared" si="0"/>
        <v>-31.059999999999945</v>
      </c>
    </row>
    <row r="12" spans="1:8" ht="18" x14ac:dyDescent="0.25">
      <c r="A12" s="61">
        <v>12</v>
      </c>
      <c r="B12" s="62">
        <v>42646</v>
      </c>
      <c r="C12" s="63" t="s">
        <v>341</v>
      </c>
      <c r="D12" s="79">
        <v>42679</v>
      </c>
      <c r="E12" s="63" t="s">
        <v>342</v>
      </c>
      <c r="F12" s="65">
        <v>1217.8599999999999</v>
      </c>
      <c r="G12" s="80">
        <f>-356.79-270.19-83.29-25.81-57.22-5.64-68.55-30.05-54.59</f>
        <v>-952.12999999999988</v>
      </c>
      <c r="H12" s="60">
        <f t="shared" si="0"/>
        <v>265.73</v>
      </c>
    </row>
    <row r="13" spans="1:8" ht="18" x14ac:dyDescent="0.25">
      <c r="A13" s="61">
        <v>13</v>
      </c>
      <c r="B13" s="62">
        <v>42653</v>
      </c>
      <c r="C13" s="63" t="s">
        <v>343</v>
      </c>
      <c r="D13" s="79">
        <v>42677</v>
      </c>
      <c r="E13" s="63" t="s">
        <v>344</v>
      </c>
      <c r="F13" s="65">
        <v>265.14</v>
      </c>
      <c r="G13" s="80">
        <f>-101.88-173</f>
        <v>-274.88</v>
      </c>
      <c r="H13" s="60">
        <f t="shared" si="0"/>
        <v>-9.7400000000000091</v>
      </c>
    </row>
    <row r="14" spans="1:8" ht="18" x14ac:dyDescent="0.25">
      <c r="A14" s="61">
        <v>14</v>
      </c>
      <c r="B14" s="62">
        <v>42653</v>
      </c>
      <c r="C14" s="63" t="s">
        <v>345</v>
      </c>
      <c r="D14" s="79">
        <v>42678</v>
      </c>
      <c r="E14" s="63" t="s">
        <v>346</v>
      </c>
      <c r="F14" s="65">
        <v>218.58</v>
      </c>
      <c r="G14" s="80"/>
      <c r="H14" s="60">
        <f t="shared" si="0"/>
        <v>218.58</v>
      </c>
    </row>
    <row r="15" spans="1:8" ht="18" x14ac:dyDescent="0.25">
      <c r="A15" s="61">
        <v>16</v>
      </c>
      <c r="B15" s="62">
        <v>42653</v>
      </c>
      <c r="C15" s="63" t="s">
        <v>347</v>
      </c>
      <c r="D15" s="79">
        <v>42674</v>
      </c>
      <c r="E15" s="63" t="s">
        <v>348</v>
      </c>
      <c r="F15" s="65">
        <v>128.38</v>
      </c>
      <c r="G15" s="80">
        <f>-108.08</f>
        <v>-108.08</v>
      </c>
      <c r="H15" s="60">
        <f t="shared" si="0"/>
        <v>20.299999999999997</v>
      </c>
    </row>
    <row r="16" spans="1:8" ht="18" x14ac:dyDescent="0.25">
      <c r="A16" s="61">
        <v>17</v>
      </c>
      <c r="B16" s="62">
        <v>42653</v>
      </c>
      <c r="C16" s="63" t="s">
        <v>349</v>
      </c>
      <c r="D16" s="79">
        <v>42672</v>
      </c>
      <c r="E16" s="63" t="s">
        <v>350</v>
      </c>
      <c r="F16" s="65">
        <v>223.09</v>
      </c>
      <c r="G16" s="80">
        <f>-46.27</f>
        <v>-46.27</v>
      </c>
      <c r="H16" s="60">
        <f t="shared" si="0"/>
        <v>176.82</v>
      </c>
    </row>
    <row r="17" spans="1:8" ht="18" x14ac:dyDescent="0.25">
      <c r="A17" s="61">
        <v>18</v>
      </c>
      <c r="B17" s="62">
        <v>42653</v>
      </c>
      <c r="C17" s="63" t="s">
        <v>351</v>
      </c>
      <c r="D17" s="79">
        <v>42674</v>
      </c>
      <c r="E17" s="63" t="s">
        <v>352</v>
      </c>
      <c r="F17" s="65">
        <v>300</v>
      </c>
      <c r="G17" s="80">
        <f>-248.42-23.18-23.79</f>
        <v>-295.39</v>
      </c>
      <c r="H17" s="60">
        <f t="shared" si="0"/>
        <v>4.6100000000000136</v>
      </c>
    </row>
    <row r="18" spans="1:8" ht="18" x14ac:dyDescent="0.25">
      <c r="A18" s="61">
        <v>19</v>
      </c>
      <c r="B18" s="62">
        <v>42653</v>
      </c>
      <c r="C18" s="63" t="s">
        <v>353</v>
      </c>
      <c r="D18" s="79">
        <v>42680</v>
      </c>
      <c r="E18" s="63" t="s">
        <v>354</v>
      </c>
      <c r="F18" s="65">
        <v>450</v>
      </c>
      <c r="G18" s="80">
        <f>-300.19-58.79</f>
        <v>-358.98</v>
      </c>
      <c r="H18" s="60">
        <f t="shared" si="0"/>
        <v>91.019999999999982</v>
      </c>
    </row>
    <row r="19" spans="1:8" ht="18" x14ac:dyDescent="0.25">
      <c r="A19" s="61">
        <v>21</v>
      </c>
      <c r="B19" s="62">
        <v>42660</v>
      </c>
      <c r="C19" s="63" t="s">
        <v>365</v>
      </c>
      <c r="D19" s="79">
        <v>42676</v>
      </c>
      <c r="E19" s="63" t="s">
        <v>366</v>
      </c>
      <c r="F19" s="65">
        <v>370</v>
      </c>
      <c r="G19" s="80">
        <f>-150-78.19-61.85</f>
        <v>-290.04000000000002</v>
      </c>
      <c r="H19" s="60">
        <f t="shared" si="0"/>
        <v>79.95999999999998</v>
      </c>
    </row>
    <row r="20" spans="1:8" ht="18" x14ac:dyDescent="0.25">
      <c r="A20" s="61">
        <v>22</v>
      </c>
      <c r="B20" s="62">
        <v>42660</v>
      </c>
      <c r="C20" s="63" t="s">
        <v>367</v>
      </c>
      <c r="D20" s="79">
        <v>42691</v>
      </c>
      <c r="E20" s="63" t="s">
        <v>334</v>
      </c>
      <c r="F20" s="65">
        <v>450</v>
      </c>
      <c r="G20" s="80">
        <f>-419.26</f>
        <v>-419.26</v>
      </c>
      <c r="H20" s="60">
        <f t="shared" si="0"/>
        <v>30.740000000000009</v>
      </c>
    </row>
    <row r="21" spans="1:8" ht="18" x14ac:dyDescent="0.25">
      <c r="A21" s="61">
        <v>23</v>
      </c>
      <c r="B21" s="62">
        <v>42660</v>
      </c>
      <c r="C21" s="63" t="s">
        <v>368</v>
      </c>
      <c r="D21" s="79">
        <v>42681</v>
      </c>
      <c r="E21" s="63" t="s">
        <v>369</v>
      </c>
      <c r="F21" s="65">
        <v>200</v>
      </c>
      <c r="G21" s="80">
        <f>-149.9</f>
        <v>-149.9</v>
      </c>
      <c r="H21" s="60">
        <f t="shared" si="0"/>
        <v>50.099999999999994</v>
      </c>
    </row>
    <row r="22" spans="1:8" ht="18" x14ac:dyDescent="0.25">
      <c r="A22" s="61">
        <v>25</v>
      </c>
      <c r="B22" s="62">
        <v>42660</v>
      </c>
      <c r="C22" s="63" t="s">
        <v>370</v>
      </c>
      <c r="D22" s="79">
        <v>42691</v>
      </c>
      <c r="E22" s="63" t="s">
        <v>371</v>
      </c>
      <c r="F22" s="65">
        <v>300</v>
      </c>
      <c r="G22" s="80">
        <f>-287.1-10.25</f>
        <v>-297.35000000000002</v>
      </c>
      <c r="H22" s="60">
        <f t="shared" si="0"/>
        <v>2.6499999999999773</v>
      </c>
    </row>
    <row r="23" spans="1:8" ht="18" x14ac:dyDescent="0.25">
      <c r="A23" s="61">
        <v>27</v>
      </c>
      <c r="B23" s="62">
        <v>42667</v>
      </c>
      <c r="C23" s="63" t="s">
        <v>378</v>
      </c>
      <c r="D23" s="79">
        <v>42691</v>
      </c>
      <c r="E23" s="63" t="s">
        <v>330</v>
      </c>
      <c r="F23" s="65">
        <v>82.21</v>
      </c>
      <c r="G23" s="80">
        <f>-84.66</f>
        <v>-84.66</v>
      </c>
      <c r="H23" s="60">
        <f t="shared" si="0"/>
        <v>-2.4500000000000028</v>
      </c>
    </row>
    <row r="24" spans="1:8" ht="18" x14ac:dyDescent="0.25">
      <c r="A24" s="61">
        <v>30</v>
      </c>
      <c r="B24" s="62">
        <v>42667</v>
      </c>
      <c r="C24" s="63" t="s">
        <v>384</v>
      </c>
      <c r="D24" s="79">
        <v>42691</v>
      </c>
      <c r="E24" s="63" t="s">
        <v>385</v>
      </c>
      <c r="F24" s="65">
        <v>82.21</v>
      </c>
      <c r="G24" s="80"/>
      <c r="H24" s="60">
        <f t="shared" si="0"/>
        <v>82.21</v>
      </c>
    </row>
    <row r="25" spans="1:8" ht="18" x14ac:dyDescent="0.25">
      <c r="A25" s="61">
        <v>31</v>
      </c>
      <c r="B25" s="62">
        <v>42667</v>
      </c>
      <c r="C25" s="63" t="s">
        <v>379</v>
      </c>
      <c r="D25" s="79">
        <v>42692</v>
      </c>
      <c r="E25" s="63" t="s">
        <v>380</v>
      </c>
      <c r="F25" s="65">
        <v>75</v>
      </c>
      <c r="G25" s="80">
        <f>-44.95</f>
        <v>-44.95</v>
      </c>
      <c r="H25" s="60">
        <f t="shared" si="0"/>
        <v>30.049999999999997</v>
      </c>
    </row>
    <row r="26" spans="1:8" ht="18" x14ac:dyDescent="0.25">
      <c r="A26" s="61">
        <v>32</v>
      </c>
      <c r="B26" s="62">
        <v>42667</v>
      </c>
      <c r="C26" s="63" t="s">
        <v>381</v>
      </c>
      <c r="D26" s="79">
        <v>42694</v>
      </c>
      <c r="E26" s="63" t="s">
        <v>352</v>
      </c>
      <c r="F26" s="65">
        <v>170</v>
      </c>
      <c r="G26" s="80">
        <f>-159.07-21.54</f>
        <v>-180.60999999999999</v>
      </c>
      <c r="H26" s="60">
        <f t="shared" si="0"/>
        <v>-10.609999999999985</v>
      </c>
    </row>
    <row r="27" spans="1:8" ht="18" x14ac:dyDescent="0.25">
      <c r="A27" s="61">
        <v>34</v>
      </c>
      <c r="B27" s="62">
        <v>42674</v>
      </c>
      <c r="C27" s="63" t="s">
        <v>391</v>
      </c>
      <c r="D27" s="79">
        <v>42705</v>
      </c>
      <c r="E27" s="63" t="s">
        <v>205</v>
      </c>
      <c r="F27" s="65">
        <v>850</v>
      </c>
      <c r="G27" s="80">
        <f>-180.29-431-120.25</f>
        <v>-731.54</v>
      </c>
      <c r="H27" s="60">
        <f t="shared" si="0"/>
        <v>118.46000000000004</v>
      </c>
    </row>
    <row r="28" spans="1:8" ht="18" x14ac:dyDescent="0.25">
      <c r="A28" s="61">
        <v>35</v>
      </c>
      <c r="B28" s="62">
        <v>42674</v>
      </c>
      <c r="C28" s="63" t="s">
        <v>392</v>
      </c>
      <c r="D28" s="79">
        <v>42705</v>
      </c>
      <c r="E28" s="63" t="s">
        <v>393</v>
      </c>
      <c r="F28" s="65">
        <v>123.27</v>
      </c>
      <c r="G28" s="80"/>
      <c r="H28" s="60">
        <f t="shared" si="0"/>
        <v>123.27</v>
      </c>
    </row>
    <row r="29" spans="1:8" ht="18" x14ac:dyDescent="0.25">
      <c r="A29" s="61">
        <v>36</v>
      </c>
      <c r="B29" s="62">
        <v>42674</v>
      </c>
      <c r="C29" s="63" t="s">
        <v>394</v>
      </c>
      <c r="D29" s="79">
        <v>42705</v>
      </c>
      <c r="E29" s="63" t="s">
        <v>395</v>
      </c>
      <c r="F29" s="65">
        <v>157.96</v>
      </c>
      <c r="G29" s="80">
        <f>-93.22-49.79</f>
        <v>-143.01</v>
      </c>
      <c r="H29" s="60">
        <f t="shared" si="0"/>
        <v>14.950000000000017</v>
      </c>
    </row>
    <row r="30" spans="1:8" ht="18" x14ac:dyDescent="0.25">
      <c r="A30" s="61">
        <v>37</v>
      </c>
      <c r="B30" s="62">
        <v>42681</v>
      </c>
      <c r="C30" s="63" t="s">
        <v>399</v>
      </c>
      <c r="D30" s="79">
        <v>42704</v>
      </c>
      <c r="E30" s="63" t="s">
        <v>400</v>
      </c>
      <c r="F30" s="65">
        <v>1416.73</v>
      </c>
      <c r="G30" s="80">
        <f>-1046.51-212.94</f>
        <v>-1259.45</v>
      </c>
      <c r="H30" s="60">
        <f t="shared" si="0"/>
        <v>157.27999999999997</v>
      </c>
    </row>
    <row r="31" spans="1:8" ht="18" x14ac:dyDescent="0.25">
      <c r="A31" s="61">
        <v>38</v>
      </c>
      <c r="B31" s="62">
        <v>42681</v>
      </c>
      <c r="C31" s="63" t="s">
        <v>401</v>
      </c>
      <c r="D31" s="79">
        <v>42707</v>
      </c>
      <c r="E31" s="63" t="s">
        <v>402</v>
      </c>
      <c r="F31" s="65">
        <v>1001</v>
      </c>
      <c r="G31" s="80">
        <f>-610-9.18-19.39-204.56</f>
        <v>-843.12999999999988</v>
      </c>
      <c r="H31" s="60">
        <f t="shared" si="0"/>
        <v>157.87000000000012</v>
      </c>
    </row>
    <row r="32" spans="1:8" ht="18" x14ac:dyDescent="0.25">
      <c r="A32" s="61">
        <v>41</v>
      </c>
      <c r="B32" s="62">
        <v>42688</v>
      </c>
      <c r="C32" s="63" t="s">
        <v>406</v>
      </c>
      <c r="D32" s="79">
        <v>42712</v>
      </c>
      <c r="E32" s="63" t="s">
        <v>371</v>
      </c>
      <c r="F32" s="65">
        <v>998</v>
      </c>
      <c r="G32" s="80">
        <f>-478.31-164.8-280.8-75</f>
        <v>-998.91000000000008</v>
      </c>
      <c r="H32" s="60">
        <f t="shared" si="0"/>
        <v>-0.91000000000008185</v>
      </c>
    </row>
    <row r="33" spans="1:8" ht="18" x14ac:dyDescent="0.25">
      <c r="A33" s="61">
        <v>42</v>
      </c>
      <c r="B33" s="62">
        <v>42688</v>
      </c>
      <c r="C33" s="63" t="s">
        <v>407</v>
      </c>
      <c r="D33" s="79">
        <v>42705</v>
      </c>
      <c r="E33" s="63" t="s">
        <v>408</v>
      </c>
      <c r="F33" s="65">
        <v>167.5</v>
      </c>
      <c r="G33" s="80">
        <f>-166.63</f>
        <v>-166.63</v>
      </c>
      <c r="H33" s="60">
        <f t="shared" si="0"/>
        <v>0.87000000000000455</v>
      </c>
    </row>
    <row r="34" spans="1:8" ht="18" x14ac:dyDescent="0.25">
      <c r="A34" s="61">
        <v>44</v>
      </c>
      <c r="B34" s="62">
        <v>42688</v>
      </c>
      <c r="C34" s="63" t="s">
        <v>409</v>
      </c>
      <c r="D34" s="79">
        <v>42709</v>
      </c>
      <c r="E34" s="63" t="s">
        <v>300</v>
      </c>
      <c r="F34" s="65">
        <v>1000</v>
      </c>
      <c r="G34" s="80"/>
      <c r="H34" s="60">
        <f t="shared" si="0"/>
        <v>1000</v>
      </c>
    </row>
    <row r="35" spans="1:8" ht="18" x14ac:dyDescent="0.25">
      <c r="A35" s="61">
        <v>47</v>
      </c>
      <c r="B35" s="62">
        <v>42702</v>
      </c>
      <c r="C35" s="63" t="s">
        <v>410</v>
      </c>
      <c r="D35" s="79">
        <v>42789</v>
      </c>
      <c r="E35" s="63" t="s">
        <v>340</v>
      </c>
      <c r="F35" s="65">
        <v>982.16</v>
      </c>
      <c r="G35" s="80"/>
      <c r="H35" s="60">
        <f t="shared" si="0"/>
        <v>982.16</v>
      </c>
    </row>
    <row r="36" spans="1:8" ht="18" x14ac:dyDescent="0.25">
      <c r="A36" s="61">
        <v>49</v>
      </c>
      <c r="B36" s="62">
        <v>42710</v>
      </c>
      <c r="C36" s="63" t="s">
        <v>411</v>
      </c>
      <c r="D36" s="79">
        <v>42786</v>
      </c>
      <c r="E36" s="63" t="s">
        <v>340</v>
      </c>
      <c r="F36" s="65">
        <v>2449.2600000000002</v>
      </c>
      <c r="G36" s="80">
        <f>-1.88-47.93-115.71-137.36-96.12-201.88-8.25-336.28-240.3-143.43-272.5-135.84</f>
        <v>-1737.48</v>
      </c>
      <c r="H36" s="60">
        <f t="shared" si="0"/>
        <v>711.7800000000002</v>
      </c>
    </row>
    <row r="37" spans="1:8" ht="18" x14ac:dyDescent="0.25">
      <c r="A37" s="61">
        <v>50</v>
      </c>
      <c r="B37" s="62">
        <v>42710</v>
      </c>
      <c r="C37" s="63" t="s">
        <v>412</v>
      </c>
      <c r="D37" s="79">
        <v>42425</v>
      </c>
      <c r="E37" s="63" t="s">
        <v>288</v>
      </c>
      <c r="F37" s="65">
        <v>1500</v>
      </c>
      <c r="G37" s="80">
        <f>-140-30-30-30-30-210-100-100</f>
        <v>-670</v>
      </c>
      <c r="H37" s="60">
        <f t="shared" si="0"/>
        <v>830</v>
      </c>
    </row>
    <row r="38" spans="1:8" ht="18" x14ac:dyDescent="0.25">
      <c r="A38" s="61">
        <v>52</v>
      </c>
      <c r="B38" s="62">
        <v>42759</v>
      </c>
      <c r="C38" s="63" t="s">
        <v>430</v>
      </c>
      <c r="D38" s="79">
        <v>42846</v>
      </c>
      <c r="E38" s="63" t="s">
        <v>431</v>
      </c>
      <c r="F38" s="65">
        <v>220</v>
      </c>
      <c r="G38" s="80">
        <f>-238.7</f>
        <v>-238.7</v>
      </c>
      <c r="H38" s="60">
        <f t="shared" si="0"/>
        <v>-18.699999999999989</v>
      </c>
    </row>
    <row r="39" spans="1:8" ht="18" x14ac:dyDescent="0.25">
      <c r="A39" s="61">
        <v>53</v>
      </c>
      <c r="B39" s="62">
        <v>42759</v>
      </c>
      <c r="C39" s="63" t="s">
        <v>238</v>
      </c>
      <c r="D39" s="79">
        <v>42812</v>
      </c>
      <c r="E39" s="63" t="s">
        <v>432</v>
      </c>
      <c r="F39" s="65">
        <v>4100</v>
      </c>
      <c r="G39" s="80">
        <f>-3500-430.23</f>
        <v>-3930.23</v>
      </c>
      <c r="H39" s="60">
        <f t="shared" si="0"/>
        <v>169.76999999999998</v>
      </c>
    </row>
    <row r="40" spans="1:8" ht="18" x14ac:dyDescent="0.25">
      <c r="A40" s="61">
        <v>55</v>
      </c>
      <c r="B40" s="62">
        <v>42766</v>
      </c>
      <c r="C40" s="63" t="s">
        <v>433</v>
      </c>
      <c r="D40" s="79">
        <v>42782</v>
      </c>
      <c r="E40" s="63" t="s">
        <v>393</v>
      </c>
      <c r="F40" s="65">
        <v>154.79</v>
      </c>
      <c r="G40" s="80"/>
      <c r="H40" s="60">
        <f t="shared" si="0"/>
        <v>154.79</v>
      </c>
    </row>
    <row r="41" spans="1:8" ht="18" x14ac:dyDescent="0.25">
      <c r="A41" s="61">
        <v>56</v>
      </c>
      <c r="B41" s="62">
        <v>42766</v>
      </c>
      <c r="C41" s="63" t="s">
        <v>434</v>
      </c>
      <c r="D41" s="79">
        <v>42804</v>
      </c>
      <c r="E41" s="63" t="s">
        <v>435</v>
      </c>
      <c r="F41" s="65">
        <v>1500</v>
      </c>
      <c r="G41" s="80"/>
      <c r="H41" s="60">
        <f t="shared" si="0"/>
        <v>1500</v>
      </c>
    </row>
    <row r="42" spans="1:8" ht="18" x14ac:dyDescent="0.25">
      <c r="A42" s="61">
        <v>57</v>
      </c>
      <c r="B42" s="62">
        <v>42773</v>
      </c>
      <c r="C42" s="63" t="s">
        <v>454</v>
      </c>
      <c r="D42" s="79">
        <v>42846</v>
      </c>
      <c r="E42" s="63" t="s">
        <v>431</v>
      </c>
      <c r="F42" s="65">
        <v>3900</v>
      </c>
      <c r="G42" s="80">
        <f>-544.26-100.76-68.6-21.44-181.64-200.01-71.33-257.39-135.4-316.05-494.57-296.47-300.29</f>
        <v>-2988.21</v>
      </c>
      <c r="H42" s="60">
        <f t="shared" si="0"/>
        <v>911.79</v>
      </c>
    </row>
    <row r="43" spans="1:8" ht="18" x14ac:dyDescent="0.25">
      <c r="A43" s="61">
        <v>59</v>
      </c>
      <c r="B43" s="62">
        <v>42766</v>
      </c>
      <c r="C43" s="63" t="s">
        <v>436</v>
      </c>
      <c r="D43" s="79">
        <v>42789</v>
      </c>
      <c r="E43" s="63" t="s">
        <v>344</v>
      </c>
      <c r="F43" s="65">
        <v>228.16</v>
      </c>
      <c r="G43" s="80">
        <f>-20.97</f>
        <v>-20.97</v>
      </c>
      <c r="H43" s="60">
        <f t="shared" si="0"/>
        <v>207.19</v>
      </c>
    </row>
    <row r="44" spans="1:8" ht="18" x14ac:dyDescent="0.25">
      <c r="A44" s="61">
        <v>60</v>
      </c>
      <c r="B44" s="62">
        <v>42766</v>
      </c>
      <c r="C44" s="63" t="s">
        <v>437</v>
      </c>
      <c r="D44" s="79">
        <v>42840</v>
      </c>
      <c r="E44" s="63" t="s">
        <v>438</v>
      </c>
      <c r="F44" s="65">
        <v>900</v>
      </c>
      <c r="G44" s="80"/>
      <c r="H44" s="60">
        <f t="shared" si="0"/>
        <v>900</v>
      </c>
    </row>
    <row r="45" spans="1:8" ht="18" x14ac:dyDescent="0.25">
      <c r="A45" s="61">
        <v>61</v>
      </c>
      <c r="B45" s="62">
        <v>42766</v>
      </c>
      <c r="C45" s="63" t="s">
        <v>439</v>
      </c>
      <c r="D45" s="79">
        <v>42776</v>
      </c>
      <c r="E45" s="63" t="s">
        <v>338</v>
      </c>
      <c r="F45" s="65">
        <v>1000</v>
      </c>
      <c r="G45" s="80">
        <f>-629.78-109.5</f>
        <v>-739.28</v>
      </c>
      <c r="H45" s="60">
        <f t="shared" si="0"/>
        <v>260.72000000000003</v>
      </c>
    </row>
    <row r="46" spans="1:8" ht="18" x14ac:dyDescent="0.25">
      <c r="A46" s="61">
        <v>62</v>
      </c>
      <c r="B46" s="62">
        <v>42766</v>
      </c>
      <c r="C46" s="63" t="s">
        <v>440</v>
      </c>
      <c r="D46" s="79">
        <v>42783</v>
      </c>
      <c r="E46" s="63" t="s">
        <v>441</v>
      </c>
      <c r="F46" s="65">
        <v>1410</v>
      </c>
      <c r="G46" s="80"/>
      <c r="H46" s="60">
        <f t="shared" si="0"/>
        <v>1410</v>
      </c>
    </row>
    <row r="47" spans="1:8" ht="18" x14ac:dyDescent="0.25">
      <c r="A47" s="61">
        <v>63</v>
      </c>
      <c r="B47" s="62">
        <v>42773</v>
      </c>
      <c r="C47" s="63" t="s">
        <v>410</v>
      </c>
      <c r="D47" s="79">
        <v>42795</v>
      </c>
      <c r="E47" s="63" t="s">
        <v>371</v>
      </c>
      <c r="F47" s="65">
        <v>1513</v>
      </c>
      <c r="G47" s="80">
        <f>-745.24-3.75-952.75</f>
        <v>-1701.74</v>
      </c>
      <c r="H47" s="60">
        <f t="shared" si="0"/>
        <v>-188.74</v>
      </c>
    </row>
    <row r="48" spans="1:8" ht="18" x14ac:dyDescent="0.25">
      <c r="A48" s="84">
        <v>65</v>
      </c>
      <c r="B48" s="85">
        <v>42773</v>
      </c>
      <c r="C48" s="84" t="s">
        <v>448</v>
      </c>
      <c r="D48" s="86">
        <v>42798</v>
      </c>
      <c r="E48" s="84" t="s">
        <v>449</v>
      </c>
      <c r="F48" s="87">
        <v>2905.2</v>
      </c>
      <c r="G48" s="88">
        <f>-33.6-66.07-1038.29-296.59-296.59-303.36-350</f>
        <v>-2384.5</v>
      </c>
      <c r="H48" s="60">
        <f t="shared" si="0"/>
        <v>520.69999999999982</v>
      </c>
    </row>
    <row r="49" spans="1:8" ht="18" x14ac:dyDescent="0.25">
      <c r="A49" s="84">
        <v>69</v>
      </c>
      <c r="B49" s="89">
        <v>42773</v>
      </c>
      <c r="C49" s="90" t="s">
        <v>450</v>
      </c>
      <c r="D49" s="91">
        <v>42837</v>
      </c>
      <c r="E49" s="90" t="s">
        <v>451</v>
      </c>
      <c r="F49" s="92">
        <v>1371.47</v>
      </c>
      <c r="G49" s="93">
        <f>-935.01</f>
        <v>-935.01</v>
      </c>
      <c r="H49" s="60">
        <f t="shared" si="0"/>
        <v>436.46000000000004</v>
      </c>
    </row>
    <row r="50" spans="1:8" ht="18" x14ac:dyDescent="0.25">
      <c r="A50" s="94">
        <v>71</v>
      </c>
      <c r="B50" s="95">
        <v>42773</v>
      </c>
      <c r="C50" s="96" t="s">
        <v>452</v>
      </c>
      <c r="D50" s="97" t="s">
        <v>453</v>
      </c>
      <c r="E50" s="96" t="s">
        <v>372</v>
      </c>
      <c r="F50" s="98">
        <v>1463</v>
      </c>
      <c r="G50" s="99"/>
      <c r="H50" s="60">
        <f t="shared" si="0"/>
        <v>1463</v>
      </c>
    </row>
    <row r="51" spans="1:8" ht="18" x14ac:dyDescent="0.25">
      <c r="A51" s="94">
        <v>72</v>
      </c>
      <c r="B51" s="95">
        <v>42796</v>
      </c>
      <c r="C51" s="96" t="s">
        <v>485</v>
      </c>
      <c r="D51" s="97">
        <v>42811</v>
      </c>
      <c r="E51" s="96" t="s">
        <v>484</v>
      </c>
      <c r="F51" s="98">
        <v>2500</v>
      </c>
      <c r="G51" s="99"/>
      <c r="H51" s="60">
        <f t="shared" si="0"/>
        <v>2500</v>
      </c>
    </row>
    <row r="52" spans="1:8" ht="18" x14ac:dyDescent="0.25">
      <c r="A52" s="94">
        <v>74</v>
      </c>
      <c r="B52" s="95">
        <v>42780</v>
      </c>
      <c r="C52" s="96" t="s">
        <v>463</v>
      </c>
      <c r="D52" s="97">
        <v>42797</v>
      </c>
      <c r="E52" s="96" t="s">
        <v>464</v>
      </c>
      <c r="F52" s="98">
        <v>1329.33</v>
      </c>
      <c r="G52" s="99">
        <f>-260-260</f>
        <v>-520</v>
      </c>
      <c r="H52" s="60">
        <f t="shared" si="0"/>
        <v>809.32999999999993</v>
      </c>
    </row>
    <row r="53" spans="1:8" ht="18" x14ac:dyDescent="0.25">
      <c r="A53" s="94">
        <v>75</v>
      </c>
      <c r="B53" s="95">
        <v>42780</v>
      </c>
      <c r="C53" s="96" t="s">
        <v>465</v>
      </c>
      <c r="D53" s="97">
        <v>42800</v>
      </c>
      <c r="E53" s="96" t="s">
        <v>466</v>
      </c>
      <c r="F53" s="98">
        <v>977</v>
      </c>
      <c r="G53" s="99"/>
      <c r="H53" s="60">
        <f t="shared" si="0"/>
        <v>977</v>
      </c>
    </row>
    <row r="54" spans="1:8" ht="18" x14ac:dyDescent="0.25">
      <c r="A54" s="94">
        <v>76</v>
      </c>
      <c r="B54" s="95">
        <v>42780</v>
      </c>
      <c r="C54" s="96" t="s">
        <v>467</v>
      </c>
      <c r="D54" s="97">
        <v>42797</v>
      </c>
      <c r="E54" s="96" t="s">
        <v>172</v>
      </c>
      <c r="F54" s="98">
        <v>750</v>
      </c>
      <c r="G54" s="99"/>
      <c r="H54" s="60">
        <f t="shared" si="0"/>
        <v>750</v>
      </c>
    </row>
    <row r="55" spans="1:8" ht="18" x14ac:dyDescent="0.25">
      <c r="A55" s="94">
        <v>77</v>
      </c>
      <c r="B55" s="95">
        <v>42780</v>
      </c>
      <c r="C55" s="96" t="s">
        <v>468</v>
      </c>
      <c r="D55" s="97">
        <v>42803</v>
      </c>
      <c r="E55" s="96" t="s">
        <v>385</v>
      </c>
      <c r="F55" s="98">
        <v>259.2</v>
      </c>
      <c r="G55" s="99">
        <f>-247.49</f>
        <v>-247.49</v>
      </c>
      <c r="H55" s="60">
        <f t="shared" si="0"/>
        <v>11.70999999999998</v>
      </c>
    </row>
    <row r="56" spans="1:8" ht="18" x14ac:dyDescent="0.25">
      <c r="A56" s="94">
        <v>80</v>
      </c>
      <c r="B56" s="95">
        <v>42787</v>
      </c>
      <c r="C56" s="96" t="s">
        <v>472</v>
      </c>
      <c r="D56" s="97">
        <v>42861</v>
      </c>
      <c r="E56" s="96" t="s">
        <v>473</v>
      </c>
      <c r="F56" s="98">
        <v>1500</v>
      </c>
      <c r="G56" s="99"/>
      <c r="H56" s="60">
        <f t="shared" ref="H56:H78" si="1">F56+G56</f>
        <v>1500</v>
      </c>
    </row>
    <row r="57" spans="1:8" ht="18" x14ac:dyDescent="0.25">
      <c r="A57" s="94">
        <v>81</v>
      </c>
      <c r="B57" s="95">
        <v>42787</v>
      </c>
      <c r="C57" s="96" t="s">
        <v>474</v>
      </c>
      <c r="D57" s="97">
        <v>42797</v>
      </c>
      <c r="E57" s="96" t="s">
        <v>330</v>
      </c>
      <c r="F57" s="98">
        <v>114.9</v>
      </c>
      <c r="G57" s="99">
        <f>-114.84</f>
        <v>-114.84</v>
      </c>
      <c r="H57" s="60">
        <f t="shared" si="1"/>
        <v>6.0000000000002274E-2</v>
      </c>
    </row>
    <row r="58" spans="1:8" ht="18" x14ac:dyDescent="0.25">
      <c r="A58" s="94">
        <v>67</v>
      </c>
      <c r="B58" s="95">
        <v>42794</v>
      </c>
      <c r="C58" s="96" t="s">
        <v>475</v>
      </c>
      <c r="D58" s="97">
        <v>42816</v>
      </c>
      <c r="E58" s="96" t="s">
        <v>476</v>
      </c>
      <c r="F58" s="98">
        <v>782.5</v>
      </c>
      <c r="G58" s="99"/>
      <c r="H58" s="100">
        <f t="shared" si="1"/>
        <v>782.5</v>
      </c>
    </row>
    <row r="59" spans="1:8" ht="18" x14ac:dyDescent="0.25">
      <c r="A59" s="94">
        <v>84</v>
      </c>
      <c r="B59" s="95">
        <v>42794</v>
      </c>
      <c r="C59" s="96" t="s">
        <v>477</v>
      </c>
      <c r="D59" s="97">
        <v>42805</v>
      </c>
      <c r="E59" s="96" t="s">
        <v>218</v>
      </c>
      <c r="F59" s="98">
        <v>400</v>
      </c>
      <c r="G59" s="99"/>
      <c r="H59" s="100">
        <f t="shared" si="1"/>
        <v>400</v>
      </c>
    </row>
    <row r="60" spans="1:8" ht="18" x14ac:dyDescent="0.25">
      <c r="A60" s="94">
        <v>85</v>
      </c>
      <c r="B60" s="95">
        <v>42796</v>
      </c>
      <c r="C60" s="96" t="s">
        <v>486</v>
      </c>
      <c r="D60" s="97">
        <v>42848</v>
      </c>
      <c r="E60" s="96" t="s">
        <v>487</v>
      </c>
      <c r="F60" s="98">
        <v>1423.32</v>
      </c>
      <c r="G60" s="99"/>
      <c r="H60" s="100">
        <f t="shared" si="1"/>
        <v>1423.32</v>
      </c>
    </row>
    <row r="61" spans="1:8" ht="18" x14ac:dyDescent="0.25">
      <c r="A61" s="94">
        <v>86</v>
      </c>
      <c r="B61" s="95">
        <v>42796</v>
      </c>
      <c r="C61" s="96" t="s">
        <v>488</v>
      </c>
      <c r="D61" s="97">
        <v>42834</v>
      </c>
      <c r="E61" s="96" t="s">
        <v>489</v>
      </c>
      <c r="F61" s="98">
        <v>1500</v>
      </c>
      <c r="G61" s="99"/>
      <c r="H61" s="100">
        <f t="shared" si="1"/>
        <v>1500</v>
      </c>
    </row>
    <row r="62" spans="1:8" ht="18" x14ac:dyDescent="0.25">
      <c r="A62" s="94">
        <v>87</v>
      </c>
      <c r="B62" s="95">
        <v>42794</v>
      </c>
      <c r="C62" s="96" t="s">
        <v>478</v>
      </c>
      <c r="D62" s="97">
        <v>42808</v>
      </c>
      <c r="E62" s="96" t="s">
        <v>479</v>
      </c>
      <c r="F62" s="98">
        <v>400</v>
      </c>
      <c r="G62" s="99"/>
      <c r="H62" s="100">
        <f t="shared" si="1"/>
        <v>400</v>
      </c>
    </row>
    <row r="63" spans="1:8" ht="18" x14ac:dyDescent="0.25">
      <c r="A63" s="94">
        <v>88</v>
      </c>
      <c r="B63" s="95">
        <v>42796</v>
      </c>
      <c r="C63" s="96" t="s">
        <v>490</v>
      </c>
      <c r="D63" s="97">
        <v>42836</v>
      </c>
      <c r="E63" s="96" t="s">
        <v>491</v>
      </c>
      <c r="F63" s="98">
        <v>1682.74</v>
      </c>
      <c r="G63" s="99"/>
      <c r="H63" s="101">
        <f t="shared" si="1"/>
        <v>1682.74</v>
      </c>
    </row>
    <row r="64" spans="1:8" ht="18" x14ac:dyDescent="0.25">
      <c r="A64" s="94">
        <v>89</v>
      </c>
      <c r="B64" s="95">
        <v>42808</v>
      </c>
      <c r="C64" s="96" t="s">
        <v>497</v>
      </c>
      <c r="D64" s="97">
        <v>42829</v>
      </c>
      <c r="E64" s="96" t="s">
        <v>498</v>
      </c>
      <c r="F64" s="98">
        <v>250</v>
      </c>
      <c r="G64" s="99"/>
      <c r="H64" s="101">
        <f t="shared" si="1"/>
        <v>250</v>
      </c>
    </row>
    <row r="65" spans="1:8" ht="18" x14ac:dyDescent="0.25">
      <c r="A65" s="94">
        <v>90</v>
      </c>
      <c r="B65" s="95">
        <v>42808</v>
      </c>
      <c r="C65" s="96" t="s">
        <v>499</v>
      </c>
      <c r="D65" s="97">
        <v>42835</v>
      </c>
      <c r="E65" s="96" t="s">
        <v>500</v>
      </c>
      <c r="F65" s="98">
        <v>230</v>
      </c>
      <c r="G65" s="99"/>
      <c r="H65" s="101">
        <f t="shared" si="1"/>
        <v>230</v>
      </c>
    </row>
    <row r="66" spans="1:8" ht="18" x14ac:dyDescent="0.25">
      <c r="A66" s="94">
        <v>91</v>
      </c>
      <c r="B66" s="95">
        <v>42796</v>
      </c>
      <c r="C66" s="96" t="s">
        <v>492</v>
      </c>
      <c r="D66" s="97">
        <v>42832</v>
      </c>
      <c r="E66" s="96" t="s">
        <v>172</v>
      </c>
      <c r="F66" s="98">
        <v>1001</v>
      </c>
      <c r="G66" s="99"/>
      <c r="H66" s="101">
        <f t="shared" si="1"/>
        <v>1001</v>
      </c>
    </row>
    <row r="67" spans="1:8" ht="18" x14ac:dyDescent="0.25">
      <c r="A67" s="94">
        <v>92</v>
      </c>
      <c r="B67" s="95">
        <v>42808</v>
      </c>
      <c r="C67" s="96" t="s">
        <v>501</v>
      </c>
      <c r="D67" s="97">
        <v>42847</v>
      </c>
      <c r="E67" s="96" t="s">
        <v>352</v>
      </c>
      <c r="F67" s="98">
        <v>999</v>
      </c>
      <c r="G67" s="99"/>
      <c r="H67" s="101">
        <f t="shared" si="1"/>
        <v>999</v>
      </c>
    </row>
    <row r="68" spans="1:8" ht="18" x14ac:dyDescent="0.25">
      <c r="A68" s="94">
        <v>93</v>
      </c>
      <c r="B68" s="95">
        <v>42808</v>
      </c>
      <c r="C68" s="96" t="s">
        <v>502</v>
      </c>
      <c r="D68" s="97">
        <v>42829</v>
      </c>
      <c r="E68" s="96" t="s">
        <v>395</v>
      </c>
      <c r="F68" s="98">
        <v>906.96</v>
      </c>
      <c r="G68" s="99"/>
      <c r="H68" s="101">
        <f t="shared" si="1"/>
        <v>906.96</v>
      </c>
    </row>
    <row r="69" spans="1:8" ht="18" x14ac:dyDescent="0.25">
      <c r="A69" s="94">
        <v>94</v>
      </c>
      <c r="B69" s="95">
        <v>42796</v>
      </c>
      <c r="C69" s="96" t="s">
        <v>493</v>
      </c>
      <c r="D69" s="97">
        <v>42826</v>
      </c>
      <c r="E69" s="96" t="s">
        <v>408</v>
      </c>
      <c r="F69" s="98">
        <v>583.20000000000005</v>
      </c>
      <c r="G69" s="99"/>
      <c r="H69" s="101">
        <f t="shared" si="1"/>
        <v>583.20000000000005</v>
      </c>
    </row>
    <row r="70" spans="1:8" ht="18" x14ac:dyDescent="0.25">
      <c r="A70" s="94">
        <v>95</v>
      </c>
      <c r="B70" s="95">
        <v>42796</v>
      </c>
      <c r="C70" s="96" t="s">
        <v>494</v>
      </c>
      <c r="D70" s="97">
        <v>42846</v>
      </c>
      <c r="E70" s="96" t="s">
        <v>495</v>
      </c>
      <c r="F70" s="98">
        <v>1070</v>
      </c>
      <c r="G70" s="99"/>
      <c r="H70" s="101">
        <f t="shared" si="1"/>
        <v>1070</v>
      </c>
    </row>
    <row r="71" spans="1:8" ht="18" x14ac:dyDescent="0.25">
      <c r="A71" s="94">
        <v>97</v>
      </c>
      <c r="B71" s="95">
        <v>42796</v>
      </c>
      <c r="C71" s="96" t="s">
        <v>496</v>
      </c>
      <c r="D71" s="97">
        <v>42833</v>
      </c>
      <c r="E71" s="96" t="s">
        <v>300</v>
      </c>
      <c r="F71" s="98">
        <v>3500</v>
      </c>
      <c r="G71" s="99"/>
      <c r="H71" s="101">
        <f t="shared" si="1"/>
        <v>3500</v>
      </c>
    </row>
    <row r="72" spans="1:8" ht="18" x14ac:dyDescent="0.25">
      <c r="A72" s="94">
        <v>98</v>
      </c>
      <c r="B72" s="95">
        <v>42808</v>
      </c>
      <c r="C72" s="96" t="s">
        <v>503</v>
      </c>
      <c r="D72" s="97">
        <v>42833</v>
      </c>
      <c r="E72" s="96" t="s">
        <v>504</v>
      </c>
      <c r="F72" s="98">
        <v>200</v>
      </c>
      <c r="G72" s="99"/>
      <c r="H72" s="101">
        <f t="shared" si="1"/>
        <v>200</v>
      </c>
    </row>
    <row r="73" spans="1:8" ht="18" x14ac:dyDescent="0.25">
      <c r="A73" s="94">
        <v>100</v>
      </c>
      <c r="B73" s="95">
        <v>42808</v>
      </c>
      <c r="C73" s="96" t="s">
        <v>505</v>
      </c>
      <c r="D73" s="97">
        <v>42833</v>
      </c>
      <c r="E73" s="96" t="s">
        <v>487</v>
      </c>
      <c r="F73" s="98">
        <v>654.72</v>
      </c>
      <c r="G73" s="99"/>
      <c r="H73" s="101">
        <f t="shared" si="1"/>
        <v>654.72</v>
      </c>
    </row>
    <row r="74" spans="1:8" ht="18" x14ac:dyDescent="0.25">
      <c r="A74" s="94">
        <v>101</v>
      </c>
      <c r="B74" s="95">
        <v>42808</v>
      </c>
      <c r="C74" s="96" t="s">
        <v>506</v>
      </c>
      <c r="D74" s="97">
        <v>42833</v>
      </c>
      <c r="E74" s="96" t="s">
        <v>507</v>
      </c>
      <c r="F74" s="98">
        <v>690.87</v>
      </c>
      <c r="G74" s="99"/>
      <c r="H74" s="101">
        <f t="shared" si="1"/>
        <v>690.87</v>
      </c>
    </row>
    <row r="75" spans="1:8" ht="18" x14ac:dyDescent="0.25">
      <c r="A75" s="94">
        <v>104</v>
      </c>
      <c r="B75" s="95">
        <v>42808</v>
      </c>
      <c r="C75" s="96" t="s">
        <v>508</v>
      </c>
      <c r="D75" s="97">
        <v>42812</v>
      </c>
      <c r="E75" s="96" t="s">
        <v>504</v>
      </c>
      <c r="F75" s="98">
        <v>130</v>
      </c>
      <c r="G75" s="99"/>
      <c r="H75" s="101">
        <f t="shared" si="1"/>
        <v>130</v>
      </c>
    </row>
    <row r="76" spans="1:8" ht="18" x14ac:dyDescent="0.25">
      <c r="A76" s="94">
        <v>105</v>
      </c>
      <c r="B76" s="95">
        <v>42808</v>
      </c>
      <c r="C76" s="96" t="s">
        <v>509</v>
      </c>
      <c r="D76" s="97">
        <v>42830</v>
      </c>
      <c r="E76" s="96" t="s">
        <v>435</v>
      </c>
      <c r="F76" s="98">
        <v>135.44999999999999</v>
      </c>
      <c r="G76" s="99"/>
      <c r="H76" s="101">
        <f t="shared" si="1"/>
        <v>135.44999999999999</v>
      </c>
    </row>
    <row r="77" spans="1:8" ht="18" x14ac:dyDescent="0.25">
      <c r="A77" s="94">
        <v>106</v>
      </c>
      <c r="B77" s="95">
        <v>42808</v>
      </c>
      <c r="C77" s="96" t="s">
        <v>510</v>
      </c>
      <c r="D77" s="97">
        <v>42850</v>
      </c>
      <c r="E77" s="96" t="s">
        <v>348</v>
      </c>
      <c r="F77" s="98">
        <v>110</v>
      </c>
      <c r="G77" s="99"/>
      <c r="H77" s="101">
        <f t="shared" si="1"/>
        <v>110</v>
      </c>
    </row>
    <row r="78" spans="1:8" ht="18" x14ac:dyDescent="0.25">
      <c r="A78" s="94">
        <v>107</v>
      </c>
      <c r="B78" s="95">
        <v>42808</v>
      </c>
      <c r="C78" s="96" t="s">
        <v>511</v>
      </c>
      <c r="D78" s="97">
        <v>42853</v>
      </c>
      <c r="E78" s="96" t="s">
        <v>512</v>
      </c>
      <c r="F78" s="98">
        <v>1500</v>
      </c>
      <c r="G78" s="99"/>
      <c r="H78" s="101">
        <f t="shared" si="1"/>
        <v>1500</v>
      </c>
    </row>
    <row r="79" spans="1:8" ht="18" x14ac:dyDescent="0.25">
      <c r="A79" s="94"/>
      <c r="B79" s="95"/>
      <c r="C79" s="96"/>
      <c r="D79" s="97"/>
      <c r="E79" s="96"/>
      <c r="F79" s="98"/>
      <c r="G79" s="99"/>
      <c r="H79" s="101"/>
    </row>
    <row r="80" spans="1:8" ht="18" x14ac:dyDescent="0.25">
      <c r="A80" s="94"/>
      <c r="B80" s="95"/>
      <c r="C80" s="96"/>
      <c r="D80" s="97"/>
      <c r="E80" s="96"/>
      <c r="F80" s="98"/>
      <c r="G80" s="99"/>
      <c r="H80" s="101"/>
    </row>
    <row r="81" spans="1:8" ht="18" x14ac:dyDescent="0.25">
      <c r="A81" s="94"/>
      <c r="B81" s="95"/>
      <c r="C81" s="96"/>
      <c r="D81" s="97"/>
      <c r="E81" s="96"/>
      <c r="F81" s="98"/>
      <c r="G81" s="99"/>
      <c r="H81" s="101"/>
    </row>
    <row r="82" spans="1:8" ht="18" x14ac:dyDescent="0.25">
      <c r="A82" s="94"/>
      <c r="B82" s="95"/>
      <c r="C82" s="96"/>
      <c r="D82" s="97"/>
      <c r="E82" s="96"/>
      <c r="F82" s="98"/>
      <c r="G82" s="99"/>
      <c r="H82" s="101"/>
    </row>
    <row r="83" spans="1:8" ht="18" x14ac:dyDescent="0.25">
      <c r="A83" s="61"/>
      <c r="B83" s="62"/>
      <c r="C83" s="63"/>
      <c r="D83" s="79"/>
      <c r="E83" s="114"/>
      <c r="F83" s="65">
        <f>SUM(F5:F74)</f>
        <v>67311.949999999983</v>
      </c>
      <c r="G83" s="115">
        <f>SUM(G4:G75)</f>
        <v>-32949.589999999997</v>
      </c>
      <c r="H83" s="65">
        <f>SUM(H5:H82)</f>
        <v>37733.65</v>
      </c>
    </row>
    <row r="84" spans="1:8" ht="18" x14ac:dyDescent="0.25">
      <c r="E84" s="117" t="s">
        <v>396</v>
      </c>
      <c r="F84" s="116">
        <v>107000</v>
      </c>
    </row>
    <row r="85" spans="1:8" ht="18" x14ac:dyDescent="0.25">
      <c r="E85" s="117" t="s">
        <v>12</v>
      </c>
      <c r="F85" s="116">
        <f>F84-F83</f>
        <v>39688.050000000017</v>
      </c>
    </row>
  </sheetData>
  <mergeCells count="1">
    <mergeCell ref="A1:H2"/>
  </mergeCells>
  <phoneticPr fontId="4" type="noConversion"/>
  <pageMargins left="0.75" right="0.75" top="1" bottom="1" header="0.5" footer="0.5"/>
  <pageSetup scale="51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RCO Early Event</vt:lpstr>
      <vt:lpstr>Senate Bills</vt:lpstr>
      <vt:lpstr>ICC Bills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ASUCM Interns</dc:creator>
  <cp:keywords/>
  <dc:description/>
  <cp:lastModifiedBy>ASUCM</cp:lastModifiedBy>
  <cp:revision/>
  <cp:lastPrinted>2016-11-28T22:37:39Z</cp:lastPrinted>
  <dcterms:created xsi:type="dcterms:W3CDTF">2016-03-16T16:54:38Z</dcterms:created>
  <dcterms:modified xsi:type="dcterms:W3CDTF">2017-05-01T17:31:55Z</dcterms:modified>
  <cp:category/>
  <cp:contentStatus/>
</cp:coreProperties>
</file>